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s Log" sheetId="1" state="visible" r:id="rId3"/>
    <sheet name="Dashboard" sheetId="2" state="visible" r:id="rId4"/>
    <sheet name="Monthly Summary" sheetId="3" state="visible" r:id="rId5"/>
    <sheet name="How To Us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<sst xmlns="http://schemas.openxmlformats.org/spreadsheetml/2006/main" count="286" uniqueCount="129">
  <si>
    <t xml:space="preserve">Orb</t>
  </si>
  <si>
    <t xml:space="preserve">intra</t>
  </si>
  <si>
    <t xml:space="preserve">Commission Tracker — Deals Log</t>
  </si>
  <si>
    <t xml:space="preserve">💰  Log every closed deal here. Commission amounts auto-calculate from package and tier. Green = Active client earning recurring commissions. Red = Churned.</t>
  </si>
  <si>
    <t xml:space="preserve">Sales Rep:</t>
  </si>
  <si>
    <t xml:space="preserve">Current Tier:</t>
  </si>
  <si>
    <t xml:space="preserve">Commission %:</t>
  </si>
  <si>
    <t xml:space="preserve">#</t>
  </si>
  <si>
    <t xml:space="preserve">Close Date</t>
  </si>
  <si>
    <t xml:space="preserve">Client Name</t>
  </si>
  <si>
    <t xml:space="preserve">Business Name</t>
  </si>
  <si>
    <t xml:space="preserve">Package</t>
  </si>
  <si>
    <t xml:space="preserve">Setup Fee</t>
  </si>
  <si>
    <t xml:space="preserve">Setup
Comm %</t>
  </si>
  <si>
    <t xml:space="preserve">Setup
Comm $</t>
  </si>
  <si>
    <t xml:space="preserve">Monthly
Retainer</t>
  </si>
  <si>
    <t xml:space="preserve">Retainer
Comm %</t>
  </si>
  <si>
    <t xml:space="preserve">Monthly
Comm $</t>
  </si>
  <si>
    <t xml:space="preserve">Status</t>
  </si>
  <si>
    <t xml:space="preserve">Mo.3 Bonus
Paid?</t>
  </si>
  <si>
    <t xml:space="preserve">Mo.6 Bonus
Paid?</t>
  </si>
  <si>
    <t xml:space="preserve">Notes</t>
  </si>
  <si>
    <t xml:space="preserve">Pending</t>
  </si>
  <si>
    <t xml:space="preserve">TOTALS</t>
  </si>
  <si>
    <t xml:space="preserve">Earnings Dashboard</t>
  </si>
  <si>
    <t xml:space="preserve">📊  Your live earnings snapshot. All figures pull from the Deals Log automatically.</t>
  </si>
  <si>
    <t xml:space="preserve">YOUR EARNINGS AT A GLANCE</t>
  </si>
  <si>
    <t xml:space="preserve">TOTAL SETUP COMMISSIONS</t>
  </si>
  <si>
    <t xml:space="preserve">MONTHLY RECURRING COMMISSIONS</t>
  </si>
  <si>
    <t xml:space="preserve">PROJECTED NEXT 12 MONTHS</t>
  </si>
  <si>
    <t xml:space="preserve">setup commissions already earned  +  12 months of recurring at current active book</t>
  </si>
  <si>
    <t xml:space="preserve">COMMISSION TIER TRACKER</t>
  </si>
  <si>
    <t xml:space="preserve">Tier</t>
  </si>
  <si>
    <t xml:space="preserve">Deals / Month</t>
  </si>
  <si>
    <t xml:space="preserve">Commission %</t>
  </si>
  <si>
    <t xml:space="preserve">Est. Monthly Earnings</t>
  </si>
  <si>
    <t xml:space="preserve">Est. Annual</t>
  </si>
  <si>
    <t xml:space="preserve">Your Status</t>
  </si>
  <si>
    <t xml:space="preserve">Starter</t>
  </si>
  <si>
    <t xml:space="preserve">1–2</t>
  </si>
  <si>
    <t xml:space="preserve">Active</t>
  </si>
  <si>
    <t xml:space="preserve">3–5</t>
  </si>
  <si>
    <t xml:space="preserve">Performer</t>
  </si>
  <si>
    <t xml:space="preserve">6–9</t>
  </si>
  <si>
    <t xml:space="preserve">Elite</t>
  </si>
  <si>
    <t xml:space="preserve">10+</t>
  </si>
  <si>
    <t xml:space="preserve">RETENTION BONUS TRACKER</t>
  </si>
  <si>
    <t xml:space="preserve">Bonus</t>
  </si>
  <si>
    <t xml:space="preserve">Trigger</t>
  </si>
  <si>
    <t xml:space="preserve">Per Client</t>
  </si>
  <si>
    <t xml:space="preserve">Eligible Clients</t>
  </si>
  <si>
    <t xml:space="preserve">Total Earned</t>
  </si>
  <si>
    <t xml:space="preserve">Month 3 Bonus</t>
  </si>
  <si>
    <t xml:space="preserve">Client active at Month 3</t>
  </si>
  <si>
    <t xml:space="preserve">$100</t>
  </si>
  <si>
    <t xml:space="preserve">Month 6 Bonus</t>
  </si>
  <si>
    <t xml:space="preserve">Client active at Month 6</t>
  </si>
  <si>
    <t xml:space="preserve">$150</t>
  </si>
  <si>
    <t xml:space="preserve">Total Retention Bonuses Earned</t>
  </si>
  <si>
    <t xml:space="preserve">PROJECTED BOOK GROWTH — MANUAL PLANNING MODEL</t>
  </si>
  <si>
    <t xml:space="preserve">Enter new deals/month and churn rate. See how your recurring book compounds over 12 months.</t>
  </si>
  <si>
    <t xml:space="preserve">New deals / month (target):</t>
  </si>
  <si>
    <t xml:space="preserve">Monthly churn rate:</t>
  </si>
  <si>
    <t xml:space="preserve">Month</t>
  </si>
  <si>
    <t xml:space="preserve">Active Clients</t>
  </si>
  <si>
    <t xml:space="preserve">New Deals</t>
  </si>
  <si>
    <t xml:space="preserve">Churned</t>
  </si>
  <si>
    <t xml:space="preserve">Monthly Recurring</t>
  </si>
  <si>
    <t xml:space="preserve">Cumulative Earnings</t>
  </si>
  <si>
    <t xml:space="preserve">Month 1</t>
  </si>
  <si>
    <t xml:space="preserve">Month 2</t>
  </si>
  <si>
    <t xml:space="preserve">Month 3</t>
  </si>
  <si>
    <t xml:space="preserve">Month 4</t>
  </si>
  <si>
    <t xml:space="preserve">Month 5</t>
  </si>
  <si>
    <t xml:space="preserve">Month 6</t>
  </si>
  <si>
    <t xml:space="preserve">Month 7</t>
  </si>
  <si>
    <t xml:space="preserve">Month 8</t>
  </si>
  <si>
    <t xml:space="preserve">Month 9</t>
  </si>
  <si>
    <t xml:space="preserve">Month 10</t>
  </si>
  <si>
    <t xml:space="preserve">Month 11</t>
  </si>
  <si>
    <t xml:space="preserve">Month 12</t>
  </si>
  <si>
    <t xml:space="preserve">12-MO TOTAL</t>
  </si>
  <si>
    <t xml:space="preserve">Monthly Earnings Summary</t>
  </si>
  <si>
    <t xml:space="preserve">📅  Enter the month start date in column B. All deal counts and commissions auto-pull from Deals Log.</t>
  </si>
  <si>
    <t xml:space="preserve">Deals Closed</t>
  </si>
  <si>
    <t xml:space="preserve">Setup Comms</t>
  </si>
  <si>
    <t xml:space="preserve">Active
Clients</t>
  </si>
  <si>
    <t xml:space="preserve">Recurring
Comms</t>
  </si>
  <si>
    <t xml:space="preserve">Retention
Bonuses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</si>
  <si>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</si>
  <si>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</si>
  <si>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</si>
  <si>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</si>
  <si>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</si>
  <si>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</si>
  <si>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</si>
  <si>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</si>
  <si>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</si>
  <si>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</si>
  <si>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</si>
  <si>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</si>
  <si>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ANNUAL TOTAL</t>
  </si>
  <si>
    <t xml:space="preserve">📋  OVERVIEW</t>
  </si>
  <si>
    <t xml:space="preserve">This workbook has 3 active sheets. Every number in the Dashboard and Monthly Summary pulls from the Deals Log automatically.</t>
  </si>
  <si>
    <t xml:space="preserve">1.  DEALS LOG — enter every closed deal here</t>
  </si>
  <si>
    <t xml:space="preserve">→  When you close a deal, add a new row: date, client name, business name, and select the package.</t>
  </si>
  <si>
    <t xml:space="preserve">→  Setup Fee and Monthly Retainer populate automatically from the package you select.</t>
  </si>
  <si>
    <t xml:space="preserve">→  Commission % pulls from the Dashboard tier (updates as you hit new tiers).</t>
  </si>
  <si>
    <t xml:space="preserve">→  Setup Comm $ and Monthly Comm $ calculate automatically — no manual math.</t>
  </si>
  <si>
    <t xml:space="preserve">→  Set Status to Active when the client goes live. Set to Churned if they cancel.</t>
  </si>
  <si>
    <t xml:space="preserve">→  Update Mo.3 and Mo.6 Bonus Paid? columns as each client hits those milestones.</t>
  </si>
  <si>
    <t xml:space="preserve">→  Rows turn GREEN for Active clients. RED for Churned. This is your book-of-business at a glance.</t>
  </si>
  <si>
    <t xml:space="preserve">2.  DASHBOARD — your live earnings at a glance</t>
  </si>
  <si>
    <t xml:space="preserve">→  Total Setup Commissions and Monthly Recurring pull from the Deals Log automatically.</t>
  </si>
  <si>
    <t xml:space="preserve">→  Projected Next 12 Months = setup commissions already earned + 12× your current monthly recurring.</t>
  </si>
  <si>
    <t xml:space="preserve">→  Commission Tier Tracker shows your current tier and what each tier earns at your book size.</t>
  </si>
  <si>
    <t xml:space="preserve">→  Retention Bonus Tracker counts how many clients have hit Month 3 and Month 6 milestones.</t>
  </si>
  <si>
    <t xml:space="preserve">→  Book Growth Model: set your target new deals/month and churn rate to project your recurring income 12 months out.</t>
  </si>
  <si>
    <t xml:space="preserve">3.  MONTHLY SUMMARY — for reporting and payout tracking</t>
  </si>
  <si>
    <t xml:space="preserve">→  Shows deals closed, setup commissions, recurring commissions, and total earned per month.</t>
  </si>
  <si>
    <t xml:space="preserve">→  Retention Bonuses column is manual — enter bonus amounts as they are confirmed and paid.</t>
  </si>
  <si>
    <t xml:space="preserve">→  Use the Annual Total row for year-end reporting and conversations with your manager.</t>
  </si>
  <si>
    <t xml:space="preserve">💡  TIPS FOR GROWING YOUR BOOK</t>
  </si>
  <si>
    <t xml:space="preserve">→  Every Active client earns you recurring commissions forever — retention is as important as new deals.</t>
  </si>
  <si>
    <t xml:space="preserve">→  Check in with clients at Month 2 before the Month 3 bonus window — proactive check-ins prevent churn.</t>
  </si>
  <si>
    <t xml:space="preserve">→  Use the Book Growth Model to set a monthly deal target and work backward to daily call volume.</t>
  </si>
  <si>
    <t xml:space="preserve">→  At 20 active clients (Growth package): $597 × 20 × 20% = $2,388/mo in pure recurring — before any new deals.</t>
  </si>
  <si>
    <t xml:space="preserve">→  At 40 active clients (Performer tier): $597 × 40 × 25% = $5,970/mo recurring. That is a salary.</t>
  </si>
  <si>
    <t xml:space="preserve">→  Elite tier (30%): $597 × 50 clients = $8,955/mo recurring alone. Stack new setup commissions on top.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</si>
</sst>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mm/dd/yyyy"/>
    <numFmt numFmtId="167" formatCode="\$#,##0"/>
    <numFmt numFmtId="168" formatCode="0&quot; deals&quot;"/>
    <numFmt numFmtId="169" formatCode="\$#,##0&quot; /mo&quot;"/>
    <numFmt numFmtId="170" formatCode="0&quot; active&quot;"/>
    <numFmt numFmtId="171" formatCode="0"/>
  </numFmts>
  <fonts count="6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6"/>
      <color rgb="FF00E5A0"/>
      <name val="Arial"/>
      <family val="0"/>
      <charset val="1"/>
    </font>
    <font>
      <b val="true"/>
      <sz val="13"/>
      <color rgb="FF00E5A0"/>
      <name val="Arial"/>
      <family val="0"/>
      <charset val="1"/>
    </font>
    <font>
      <sz val="8.5"/>
      <color rgb="FF888888"/>
      <name val="Arial"/>
      <family val="0"/>
      <charset val="1"/>
    </font>
    <font>
      <b val="true"/>
      <sz val="8.5"/>
      <color rgb="FF888888"/>
      <name val="Arial"/>
      <family val="0"/>
      <charset val="1"/>
    </font>
    <font>
      <b val="true"/>
      <sz val="9"/>
      <color rgb="FFF5F4F0"/>
      <name val="Arial"/>
      <family val="0"/>
      <charset val="1"/>
    </font>
    <font>
      <b val="true"/>
      <sz val="10"/>
      <color rgb="FFF0B429"/>
      <name val="Arial"/>
      <family val="0"/>
      <charset val="1"/>
    </font>
    <font>
      <b val="true"/>
      <sz val="11"/>
      <color rgb="FF00E5A0"/>
      <name val="Arial"/>
      <family val="0"/>
      <charset val="1"/>
    </font>
    <font>
      <b val="true"/>
      <sz val="8.5"/>
      <color rgb="FF3D9EFF"/>
      <name val="Arial"/>
      <family val="0"/>
      <charset val="1"/>
    </font>
    <font>
      <b val="true"/>
      <sz val="8.5"/>
      <color rgb="FFF5F4F0"/>
      <name val="Arial"/>
      <family val="0"/>
      <charset val="1"/>
    </font>
    <font>
      <b val="true"/>
      <sz val="8.5"/>
      <color rgb="FF00E5A0"/>
      <name val="Arial"/>
      <family val="0"/>
      <charset val="1"/>
    </font>
    <font>
      <b val="true"/>
      <sz val="8.5"/>
      <color rgb="FFF0B429"/>
      <name val="Arial"/>
      <family val="0"/>
      <charset val="1"/>
    </font>
    <font>
      <b val="true"/>
      <sz val="8.5"/>
      <color rgb="FFA855F7"/>
      <name val="Arial"/>
      <family val="0"/>
      <charset val="1"/>
    </font>
    <font>
      <sz val="8"/>
      <color rgb="FF888888"/>
      <name val="Arial"/>
      <family val="0"/>
      <charset val="1"/>
    </font>
    <font>
      <sz val="10"/>
      <color rgb="FF3D9EFF"/>
      <name val="Arial"/>
      <family val="0"/>
      <charset val="1"/>
    </font>
    <font>
      <sz val="10"/>
      <color rgb="FFF5F4F0"/>
      <name val="Arial"/>
      <family val="0"/>
      <charset val="1"/>
    </font>
    <font>
      <sz val="10"/>
      <color rgb="FF00E5A0"/>
      <name val="Arial"/>
      <family val="0"/>
      <charset val="1"/>
    </font>
    <font>
      <sz val="10"/>
      <color rgb="FFF0B429"/>
      <name val="Arial"/>
      <family val="0"/>
      <charset val="1"/>
    </font>
    <font>
      <b val="true"/>
      <sz val="10"/>
      <color rgb="FF00E5A0"/>
      <name val="Arial"/>
      <family val="0"/>
      <charset val="1"/>
    </font>
    <font>
      <sz val="10"/>
      <color rgb="FFA855F7"/>
      <name val="Arial"/>
      <family val="0"/>
      <charset val="1"/>
    </font>
    <font>
      <b val="true"/>
      <sz val="9"/>
      <color rgb="FF00E5A0"/>
      <name val="Arial"/>
      <family val="0"/>
      <charset val="1"/>
    </font>
    <font>
      <sz val="11"/>
      <color rgb="FFF5F4F0"/>
      <name val="Arial"/>
      <family val="0"/>
      <charset val="1"/>
    </font>
    <font>
      <b val="true"/>
      <sz val="11"/>
      <color rgb="FFF0B429"/>
      <name val="Arial"/>
      <family val="0"/>
      <charset val="1"/>
    </font>
    <font>
      <b val="true"/>
      <sz val="13"/>
      <color rgb="FFF0B429"/>
      <name val="Arial"/>
      <family val="0"/>
      <charset val="1"/>
    </font>
    <font>
      <b val="true"/>
      <sz val="7.5"/>
      <color rgb="FF888888"/>
      <name val="Arial"/>
      <family val="0"/>
      <charset val="1"/>
    </font>
    <font>
      <b val="true"/>
      <sz val="22"/>
      <color rgb="FFF0B429"/>
      <name val="Arial"/>
      <family val="0"/>
      <charset val="1"/>
    </font>
    <font>
      <b val="true"/>
      <sz val="22"/>
      <color rgb="FF00E5A0"/>
      <name val="Arial"/>
      <family val="0"/>
      <charset val="1"/>
    </font>
    <font>
      <i val="true"/>
      <sz val="7.5"/>
      <color rgb="FF888888"/>
      <name val="Arial"/>
      <family val="0"/>
      <charset val="1"/>
    </font>
    <font>
      <b val="true"/>
      <sz val="30"/>
      <color rgb="FF00E5A0"/>
      <name val="Arial"/>
      <family val="0"/>
      <charset val="1"/>
    </font>
    <font>
      <i val="true"/>
      <sz val="8"/>
      <color rgb="FF888888"/>
      <name val="Arial"/>
      <family val="0"/>
      <charset val="1"/>
    </font>
    <font>
      <b val="true"/>
      <sz val="9.5"/>
      <color rgb="FF3D9EFF"/>
      <name val="Arial"/>
      <family val="0"/>
      <charset val="1"/>
    </font>
    <font>
      <sz val="9"/>
      <color rgb="FFF5F4F0"/>
      <name val="Arial"/>
      <family val="0"/>
      <charset val="1"/>
    </font>
    <font>
      <b val="true"/>
      <sz val="11"/>
      <color rgb="FF3D9EFF"/>
      <name val="Arial"/>
      <family val="0"/>
      <charset val="1"/>
    </font>
    <font>
      <b val="true"/>
      <sz val="9"/>
      <color rgb="FF3D9EFF"/>
      <name val="Arial"/>
      <family val="0"/>
      <charset val="1"/>
    </font>
    <font>
      <b val="true"/>
      <sz val="9.5"/>
      <color rgb="FF00E5A0"/>
      <name val="Arial"/>
      <family val="0"/>
      <charset val="1"/>
    </font>
    <font>
      <b val="true"/>
      <sz val="9.5"/>
      <color rgb="FFF0B429"/>
      <name val="Arial"/>
      <family val="0"/>
      <charset val="1"/>
    </font>
    <font>
      <b val="true"/>
      <sz val="9"/>
      <color rgb="FFF0B429"/>
      <name val="Arial"/>
      <family val="0"/>
      <charset val="1"/>
    </font>
    <font>
      <b val="true"/>
      <sz val="9.5"/>
      <color rgb="FFA855F7"/>
      <name val="Arial"/>
      <family val="0"/>
      <charset val="1"/>
    </font>
    <font>
      <b val="true"/>
      <sz val="11"/>
      <color rgb="FFA855F7"/>
      <name val="Arial"/>
      <family val="0"/>
      <charset val="1"/>
    </font>
    <font>
      <b val="true"/>
      <sz val="9"/>
      <color rgb="FFA855F7"/>
      <name val="Arial"/>
      <family val="0"/>
      <charset val="1"/>
    </font>
    <font>
      <sz val="8.5"/>
      <color rgb="FFF5F4F0"/>
      <name val="Arial"/>
      <family val="0"/>
      <charset val="1"/>
    </font>
    <font>
      <b val="true"/>
      <sz val="10"/>
      <color rgb="FFA855F7"/>
      <name val="Arial"/>
      <family val="0"/>
      <charset val="1"/>
    </font>
    <font>
      <b val="true"/>
      <sz val="10"/>
      <color rgb="FFF5F4F0"/>
      <name val="Arial"/>
      <family val="0"/>
      <charset val="1"/>
    </font>
    <font>
      <b val="true"/>
      <sz val="13"/>
      <color rgb="FFA855F7"/>
      <name val="Arial"/>
      <family val="0"/>
      <charset val="1"/>
    </font>
    <font>
      <b val="true"/>
      <sz val="13"/>
      <color rgb="FFFF5C5C"/>
      <name val="Arial"/>
      <family val="0"/>
      <charset val="1"/>
    </font>
    <font>
      <b val="true"/>
      <sz val="8"/>
      <color rgb="FF888888"/>
      <name val="Arial"/>
      <family val="0"/>
      <charset val="1"/>
    </font>
    <font>
      <b val="true"/>
      <sz val="8"/>
      <color rgb="FFF5F4F0"/>
      <name val="Arial"/>
      <family val="0"/>
      <charset val="1"/>
    </font>
    <font>
      <b val="true"/>
      <sz val="8"/>
      <color rgb="FF00E5A0"/>
      <name val="Arial"/>
      <family val="0"/>
      <charset val="1"/>
    </font>
    <font>
      <b val="true"/>
      <sz val="8"/>
      <color rgb="FFFF5C5C"/>
      <name val="Arial"/>
      <family val="0"/>
      <charset val="1"/>
    </font>
    <font>
      <b val="true"/>
      <sz val="8"/>
      <color rgb="FFF0B429"/>
      <name val="Arial"/>
      <family val="0"/>
      <charset val="1"/>
    </font>
    <font>
      <sz val="10"/>
      <color rgb="FFFF5C5C"/>
      <name val="Arial"/>
      <family val="0"/>
      <charset val="1"/>
    </font>
    <font>
      <b val="true"/>
      <sz val="13"/>
      <color rgb="FF3D9EFF"/>
      <name val="Arial"/>
      <family val="0"/>
      <charset val="1"/>
    </font>
    <font>
      <b val="true"/>
      <sz val="12"/>
      <color rgb="FFF5F4F0"/>
      <name val="Arial"/>
      <family val="0"/>
      <charset val="1"/>
    </font>
    <font>
      <b val="true"/>
      <sz val="12"/>
      <color rgb="FFF0B429"/>
      <name val="Arial"/>
      <family val="0"/>
      <charset val="1"/>
    </font>
    <font>
      <b val="true"/>
      <sz val="12"/>
      <color rgb="FF00E5A0"/>
      <name val="Arial"/>
      <family val="0"/>
      <charset val="1"/>
    </font>
    <font>
      <b val="true"/>
      <sz val="12"/>
      <color rgb="FFA855F7"/>
      <name val="Arial"/>
      <family val="0"/>
      <charset val="1"/>
    </font>
    <font>
      <sz val="8.5"/>
      <color rgb="FF00E5A0"/>
      <name val="Arial"/>
      <family val="0"/>
      <charset val="1"/>
    </font>
    <font>
      <sz val="8.5"/>
      <color rgb="FF3D9EFF"/>
      <name val="Arial"/>
      <family val="0"/>
      <charset val="1"/>
    </font>
    <font>
      <sz val="8.5"/>
      <color rgb="FFF0B429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11214"/>
        <bgColor rgb="FF161A1F"/>
      </patternFill>
    </fill>
    <fill>
      <patternFill patternType="solid">
        <fgColor rgb="FF1C2026"/>
        <bgColor rgb="FF20262E"/>
      </patternFill>
    </fill>
    <fill>
      <patternFill patternType="solid">
        <fgColor rgb="FF20262E"/>
        <bgColor rgb="FF252A30"/>
      </patternFill>
    </fill>
    <fill>
      <patternFill patternType="solid">
        <fgColor rgb="FF161A1F"/>
        <bgColor rgb="FF1C2026"/>
      </patternFill>
    </fill>
    <fill>
      <patternFill patternType="solid">
        <fgColor rgb="FF091A10"/>
        <bgColor rgb="FF111214"/>
      </patternFill>
    </fill>
    <fill>
      <patternFill patternType="solid">
        <fgColor rgb="FF1A1100"/>
        <bgColor rgb="FF1A0808"/>
      </patternFill>
    </fill>
    <fill>
      <patternFill patternType="solid">
        <fgColor rgb="FF10081A"/>
        <bgColor rgb="FF111214"/>
      </patternFill>
    </fill>
    <fill>
      <patternFill patternType="solid">
        <fgColor rgb="FF2B0D0D"/>
        <bgColor rgb="FF1A0808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00E5A0"/>
      </bottom>
      <diagonal/>
    </border>
    <border diagonalUp="false" diagonalDown="false">
      <left/>
      <right/>
      <top/>
      <bottom style="thin">
        <color rgb="FF252A30"/>
      </bottom>
      <diagonal/>
    </border>
    <border diagonalUp="false" diagonalDown="false">
      <left/>
      <right/>
      <top/>
      <bottom style="thin">
        <color rgb="FFF0B429"/>
      </bottom>
      <diagonal/>
    </border>
    <border diagonalUp="false" diagonalDown="false">
      <left/>
      <right/>
      <top/>
      <bottom style="thin">
        <color rgb="FFFF5C5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8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1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2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8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8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2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8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21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0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8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8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2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3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25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6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11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11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9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0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2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3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2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8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5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2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9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1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4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3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4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5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46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0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4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4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47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7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48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9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2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3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1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2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5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19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2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5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6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7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5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3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6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3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6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56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7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58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59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9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4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4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0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0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1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37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2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2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0D2B1A"/>
        </patternFill>
      </fill>
    </dxf>
    <dxf>
      <fill>
        <patternFill>
          <bgColor rgb="FF1A080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1A0808"/>
      <rgbColor rgb="FF008000"/>
      <rgbColor rgb="FF10081A"/>
      <rgbColor rgb="FF808000"/>
      <rgbColor rgb="FF091A10"/>
      <rgbColor rgb="FF008080"/>
      <rgbColor rgb="FFC0C0C0"/>
      <rgbColor rgb="FF888888"/>
      <rgbColor rgb="FF9999FF"/>
      <rgbColor rgb="FF993366"/>
      <rgbColor rgb="FFF5F4F0"/>
      <rgbColor rgb="FFCCFFFF"/>
      <rgbColor rgb="FF2B0D0D"/>
      <rgbColor rgb="FFFF5C5C"/>
      <rgbColor rgb="FF0066CC"/>
      <rgbColor rgb="FFCCCCFF"/>
      <rgbColor rgb="FF111214"/>
      <rgbColor rgb="FFFF00FF"/>
      <rgbColor rgb="FFFFFF00"/>
      <rgbColor rgb="FF00FFFF"/>
      <rgbColor rgb="FF800080"/>
      <rgbColor rgb="FF1A1100"/>
      <rgbColor rgb="FF008080"/>
      <rgbColor rgb="FF0000FF"/>
      <rgbColor rgb="FF00E5A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D9EFF"/>
      <rgbColor rgb="FF99CC00"/>
      <rgbColor rgb="FFF0B429"/>
      <rgbColor rgb="FFFF9900"/>
      <rgbColor rgb="FFFF6600"/>
      <rgbColor rgb="FFA855F7"/>
      <rgbColor rgb="FF969696"/>
      <rgbColor rgb="FF1C2026"/>
      <rgbColor rgb="FF339966"/>
      <rgbColor rgb="FF0D2B1A"/>
      <rgbColor rgb="FF20262E"/>
      <rgbColor rgb="FF993300"/>
      <rgbColor rgb="FF993366"/>
      <rgbColor rgb="FF161A1F"/>
      <rgbColor rgb="FF252A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E5A0"/>
    <pageSetUpPr fitToPage="false"/>
  </sheetPr>
  <dimension ref="A1:O8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2"/>
    <col collapsed="false" customWidth="true" hidden="false" outlineLevel="0" max="3" min="3" style="0" width="20"/>
    <col collapsed="false" customWidth="true" hidden="false" outlineLevel="0" max="4" min="4" style="0" width="22"/>
    <col collapsed="false" customWidth="true" hidden="false" outlineLevel="0" max="5" min="5" style="0" width="13"/>
    <col collapsed="false" customWidth="true" hidden="false" outlineLevel="0" max="6" min="6" style="0" width="12"/>
    <col collapsed="false" customWidth="true" hidden="false" outlineLevel="0" max="7" min="7" style="0" width="10"/>
    <col collapsed="false" customWidth="true" hidden="false" outlineLevel="0" max="9" min="8" style="0" width="13"/>
    <col collapsed="false" customWidth="true" hidden="false" outlineLevel="0" max="10" min="10" style="0" width="10"/>
    <col collapsed="false" customWidth="true" hidden="false" outlineLevel="0" max="11" min="11" style="0" width="13"/>
    <col collapsed="false" customWidth="true" hidden="false" outlineLevel="0" max="12" min="12" style="0" width="12"/>
    <col collapsed="false" customWidth="true" hidden="false" outlineLevel="0" max="14" min="13" style="0" width="14"/>
    <col collapsed="false" customWidth="true" hidden="false" outlineLevel="0" max="15" min="15" style="0" width="28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43.5" hidden="false" customHeight="true" outlineLevel="0" collapsed="false">
      <c r="A2" s="1"/>
      <c r="B2" s="2" t="s">
        <v>0</v>
      </c>
      <c r="C2" s="3" t="s">
        <v>1</v>
      </c>
      <c r="D2" s="4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false" ht="6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customFormat="false" ht="21.75" hidden="false" customHeight="true" outlineLevel="0" collapsed="false">
      <c r="A4" s="5"/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customFormat="false" ht="6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customFormat="false" ht="21.75" hidden="false" customHeight="true" outlineLevel="0" collapsed="false">
      <c r="A6" s="7"/>
      <c r="B6" s="8" t="s">
        <v>4</v>
      </c>
      <c r="C6" s="8"/>
      <c r="D6" s="9"/>
      <c r="E6" s="9"/>
      <c r="F6" s="8" t="s">
        <v>5</v>
      </c>
      <c r="G6" s="8"/>
      <c r="H6" s="10" t="str">
        <f aca="false">IFERROR(Dashboard!C6,"—")</f>
        <v>Starter</v>
      </c>
      <c r="I6" s="11" t="s">
        <v>6</v>
      </c>
      <c r="J6" s="11"/>
      <c r="K6" s="12" t="n">
        <f aca="false">IFERROR(Dashboard!C7,"—")</f>
        <v>0.15</v>
      </c>
      <c r="L6" s="7"/>
      <c r="M6" s="7"/>
      <c r="N6" s="7"/>
      <c r="O6" s="7"/>
    </row>
    <row r="7" customFormat="false" ht="25.5" hidden="false" customHeight="true" outlineLevel="0" collapsed="false">
      <c r="A7" s="13" t="s">
        <v>7</v>
      </c>
      <c r="B7" s="14" t="s">
        <v>8</v>
      </c>
      <c r="C7" s="15" t="s">
        <v>9</v>
      </c>
      <c r="D7" s="15" t="s">
        <v>10</v>
      </c>
      <c r="E7" s="16" t="s">
        <v>11</v>
      </c>
      <c r="F7" s="17" t="s">
        <v>12</v>
      </c>
      <c r="G7" s="17" t="s">
        <v>13</v>
      </c>
      <c r="H7" s="17" t="s">
        <v>14</v>
      </c>
      <c r="I7" s="14" t="s">
        <v>15</v>
      </c>
      <c r="J7" s="14" t="s">
        <v>16</v>
      </c>
      <c r="K7" s="16" t="s">
        <v>17</v>
      </c>
      <c r="L7" s="16" t="s">
        <v>18</v>
      </c>
      <c r="M7" s="18" t="s">
        <v>19</v>
      </c>
      <c r="N7" s="18" t="s">
        <v>20</v>
      </c>
      <c r="O7" s="13" t="s">
        <v>21</v>
      </c>
    </row>
    <row r="8" customFormat="false" ht="19.5" hidden="false" customHeight="true" outlineLevel="0" collapsed="false">
      <c r="A8" s="19" t="n">
        <v>1</v>
      </c>
      <c r="B8" s="20"/>
      <c r="C8" s="21"/>
      <c r="D8" s="21"/>
      <c r="E8" s="22"/>
      <c r="F8" s="23" t="n">
        <f aca="false">IFERROR(IF(E8="Core",2997,IF(E8="Growth",4997,IF(E8="Concierge",5997,0))),0)</f>
        <v>0</v>
      </c>
      <c r="G8" s="24" t="n">
        <f aca="false">IFERROR(Dashboard!$C$7,0.15)</f>
        <v>0.15</v>
      </c>
      <c r="H8" s="25" t="n">
        <f aca="false">IFERROR(F8*G8,0)</f>
        <v>0</v>
      </c>
      <c r="I8" s="26" t="n">
        <f aca="false">IFERROR(IF(E8="Core",497,IF(E8="Growth",597,IF(E8="Concierge",697,0))),0)</f>
        <v>0</v>
      </c>
      <c r="J8" s="27" t="n">
        <f aca="false">IFERROR(Dashboard!$C$7,0.15)</f>
        <v>0.15</v>
      </c>
      <c r="K8" s="28" t="n">
        <f aca="false">IFERROR(IF(L8="Active",I8*J8,0),0)</f>
        <v>0</v>
      </c>
      <c r="L8" s="22"/>
      <c r="M8" s="29" t="s">
        <v>22</v>
      </c>
      <c r="N8" s="29" t="s">
        <v>22</v>
      </c>
      <c r="O8" s="30"/>
    </row>
    <row r="9" customFormat="false" ht="19.5" hidden="false" customHeight="true" outlineLevel="0" collapsed="false">
      <c r="A9" s="31" t="n">
        <v>2</v>
      </c>
      <c r="B9" s="32"/>
      <c r="C9" s="33"/>
      <c r="D9" s="33"/>
      <c r="E9" s="34"/>
      <c r="F9" s="35" t="n">
        <f aca="false">IFERROR(IF(E9="Core",2997,IF(E9="Growth",4997,IF(E9="Concierge",5997,0))),0)</f>
        <v>0</v>
      </c>
      <c r="G9" s="36" t="n">
        <f aca="false">IFERROR(Dashboard!$C$7,0.15)</f>
        <v>0.15</v>
      </c>
      <c r="H9" s="37" t="n">
        <f aca="false">IFERROR(F9*G9,0)</f>
        <v>0</v>
      </c>
      <c r="I9" s="38" t="n">
        <f aca="false">IFERROR(IF(E9="Core",497,IF(E9="Growth",597,IF(E9="Concierge",697,0))),0)</f>
        <v>0</v>
      </c>
      <c r="J9" s="39" t="n">
        <f aca="false">IFERROR(Dashboard!$C$7,0.15)</f>
        <v>0.15</v>
      </c>
      <c r="K9" s="40" t="n">
        <f aca="false">IFERROR(IF(L9="Active",I9*J9,0),0)</f>
        <v>0</v>
      </c>
      <c r="L9" s="34"/>
      <c r="M9" s="41" t="s">
        <v>22</v>
      </c>
      <c r="N9" s="41" t="s">
        <v>22</v>
      </c>
      <c r="O9" s="42"/>
    </row>
    <row r="10" customFormat="false" ht="19.5" hidden="false" customHeight="true" outlineLevel="0" collapsed="false">
      <c r="A10" s="19" t="n">
        <v>3</v>
      </c>
      <c r="B10" s="20"/>
      <c r="C10" s="21"/>
      <c r="D10" s="21"/>
      <c r="E10" s="22"/>
      <c r="F10" s="23" t="n">
        <f aca="false">IFERROR(IF(E10="Core",2997,IF(E10="Growth",4997,IF(E10="Concierge",5997,0))),0)</f>
        <v>0</v>
      </c>
      <c r="G10" s="24" t="n">
        <f aca="false">IFERROR(Dashboard!$C$7,0.15)</f>
        <v>0.15</v>
      </c>
      <c r="H10" s="25" t="n">
        <f aca="false">IFERROR(F10*G10,0)</f>
        <v>0</v>
      </c>
      <c r="I10" s="26" t="n">
        <f aca="false">IFERROR(IF(E10="Core",497,IF(E10="Growth",597,IF(E10="Concierge",697,0))),0)</f>
        <v>0</v>
      </c>
      <c r="J10" s="27" t="n">
        <f aca="false">IFERROR(Dashboard!$C$7,0.15)</f>
        <v>0.15</v>
      </c>
      <c r="K10" s="28" t="n">
        <f aca="false">IFERROR(IF(L10="Active",I10*J10,0),0)</f>
        <v>0</v>
      </c>
      <c r="L10" s="22"/>
      <c r="M10" s="29" t="s">
        <v>22</v>
      </c>
      <c r="N10" s="29" t="s">
        <v>22</v>
      </c>
      <c r="O10" s="30"/>
    </row>
    <row r="11" customFormat="false" ht="19.5" hidden="false" customHeight="true" outlineLevel="0" collapsed="false">
      <c r="A11" s="31" t="n">
        <v>4</v>
      </c>
      <c r="B11" s="32"/>
      <c r="C11" s="33"/>
      <c r="D11" s="33"/>
      <c r="E11" s="34"/>
      <c r="F11" s="35" t="n">
        <f aca="false">IFERROR(IF(E11="Core",2997,IF(E11="Growth",4997,IF(E11="Concierge",5997,0))),0)</f>
        <v>0</v>
      </c>
      <c r="G11" s="36" t="n">
        <f aca="false">IFERROR(Dashboard!$C$7,0.15)</f>
        <v>0.15</v>
      </c>
      <c r="H11" s="37" t="n">
        <f aca="false">IFERROR(F11*G11,0)</f>
        <v>0</v>
      </c>
      <c r="I11" s="38" t="n">
        <f aca="false">IFERROR(IF(E11="Core",497,IF(E11="Growth",597,IF(E11="Concierge",697,0))),0)</f>
        <v>0</v>
      </c>
      <c r="J11" s="39" t="n">
        <f aca="false">IFERROR(Dashboard!$C$7,0.15)</f>
        <v>0.15</v>
      </c>
      <c r="K11" s="40" t="n">
        <f aca="false">IFERROR(IF(L11="Active",I11*J11,0),0)</f>
        <v>0</v>
      </c>
      <c r="L11" s="34"/>
      <c r="M11" s="41" t="s">
        <v>22</v>
      </c>
      <c r="N11" s="41" t="s">
        <v>22</v>
      </c>
      <c r="O11" s="42"/>
    </row>
    <row r="12" customFormat="false" ht="19.5" hidden="false" customHeight="true" outlineLevel="0" collapsed="false">
      <c r="A12" s="19" t="n">
        <v>5</v>
      </c>
      <c r="B12" s="20"/>
      <c r="C12" s="21"/>
      <c r="D12" s="21"/>
      <c r="E12" s="22"/>
      <c r="F12" s="23" t="n">
        <f aca="false">IFERROR(IF(E12="Core",2997,IF(E12="Growth",4997,IF(E12="Concierge",5997,0))),0)</f>
        <v>0</v>
      </c>
      <c r="G12" s="24" t="n">
        <f aca="false">IFERROR(Dashboard!$C$7,0.15)</f>
        <v>0.15</v>
      </c>
      <c r="H12" s="25" t="n">
        <f aca="false">IFERROR(F12*G12,0)</f>
        <v>0</v>
      </c>
      <c r="I12" s="26" t="n">
        <f aca="false">IFERROR(IF(E12="Core",497,IF(E12="Growth",597,IF(E12="Concierge",697,0))),0)</f>
        <v>0</v>
      </c>
      <c r="J12" s="27" t="n">
        <f aca="false">IFERROR(Dashboard!$C$7,0.15)</f>
        <v>0.15</v>
      </c>
      <c r="K12" s="28" t="n">
        <f aca="false">IFERROR(IF(L12="Active",I12*J12,0),0)</f>
        <v>0</v>
      </c>
      <c r="L12" s="22"/>
      <c r="M12" s="29" t="s">
        <v>22</v>
      </c>
      <c r="N12" s="29" t="s">
        <v>22</v>
      </c>
      <c r="O12" s="30"/>
    </row>
    <row r="13" customFormat="false" ht="19.5" hidden="false" customHeight="true" outlineLevel="0" collapsed="false">
      <c r="A13" s="31" t="n">
        <v>6</v>
      </c>
      <c r="B13" s="32"/>
      <c r="C13" s="33"/>
      <c r="D13" s="33"/>
      <c r="E13" s="34"/>
      <c r="F13" s="35" t="n">
        <f aca="false">IFERROR(IF(E13="Core",2997,IF(E13="Growth",4997,IF(E13="Concierge",5997,0))),0)</f>
        <v>0</v>
      </c>
      <c r="G13" s="36" t="n">
        <f aca="false">IFERROR(Dashboard!$C$7,0.15)</f>
        <v>0.15</v>
      </c>
      <c r="H13" s="37" t="n">
        <f aca="false">IFERROR(F13*G13,0)</f>
        <v>0</v>
      </c>
      <c r="I13" s="38" t="n">
        <f aca="false">IFERROR(IF(E13="Core",497,IF(E13="Growth",597,IF(E13="Concierge",697,0))),0)</f>
        <v>0</v>
      </c>
      <c r="J13" s="39" t="n">
        <f aca="false">IFERROR(Dashboard!$C$7,0.15)</f>
        <v>0.15</v>
      </c>
      <c r="K13" s="40" t="n">
        <f aca="false">IFERROR(IF(L13="Active",I13*J13,0),0)</f>
        <v>0</v>
      </c>
      <c r="L13" s="34"/>
      <c r="M13" s="41" t="s">
        <v>22</v>
      </c>
      <c r="N13" s="41" t="s">
        <v>22</v>
      </c>
      <c r="O13" s="42"/>
    </row>
    <row r="14" customFormat="false" ht="19.5" hidden="false" customHeight="true" outlineLevel="0" collapsed="false">
      <c r="A14" s="19" t="n">
        <v>7</v>
      </c>
      <c r="B14" s="20"/>
      <c r="C14" s="21"/>
      <c r="D14" s="21"/>
      <c r="E14" s="22"/>
      <c r="F14" s="23" t="n">
        <f aca="false">IFERROR(IF(E14="Core",2997,IF(E14="Growth",4997,IF(E14="Concierge",5997,0))),0)</f>
        <v>0</v>
      </c>
      <c r="G14" s="24" t="n">
        <f aca="false">IFERROR(Dashboard!$C$7,0.15)</f>
        <v>0.15</v>
      </c>
      <c r="H14" s="25" t="n">
        <f aca="false">IFERROR(F14*G14,0)</f>
        <v>0</v>
      </c>
      <c r="I14" s="26" t="n">
        <f aca="false">IFERROR(IF(E14="Core",497,IF(E14="Growth",597,IF(E14="Concierge",697,0))),0)</f>
        <v>0</v>
      </c>
      <c r="J14" s="27" t="n">
        <f aca="false">IFERROR(Dashboard!$C$7,0.15)</f>
        <v>0.15</v>
      </c>
      <c r="K14" s="28" t="n">
        <f aca="false">IFERROR(IF(L14="Active",I14*J14,0),0)</f>
        <v>0</v>
      </c>
      <c r="L14" s="22"/>
      <c r="M14" s="29" t="s">
        <v>22</v>
      </c>
      <c r="N14" s="29" t="s">
        <v>22</v>
      </c>
      <c r="O14" s="30"/>
    </row>
    <row r="15" customFormat="false" ht="19.5" hidden="false" customHeight="true" outlineLevel="0" collapsed="false">
      <c r="A15" s="31" t="n">
        <v>8</v>
      </c>
      <c r="B15" s="32"/>
      <c r="C15" s="33"/>
      <c r="D15" s="33"/>
      <c r="E15" s="34"/>
      <c r="F15" s="35" t="n">
        <f aca="false">IFERROR(IF(E15="Core",2997,IF(E15="Growth",4997,IF(E15="Concierge",5997,0))),0)</f>
        <v>0</v>
      </c>
      <c r="G15" s="36" t="n">
        <f aca="false">IFERROR(Dashboard!$C$7,0.15)</f>
        <v>0.15</v>
      </c>
      <c r="H15" s="37" t="n">
        <f aca="false">IFERROR(F15*G15,0)</f>
        <v>0</v>
      </c>
      <c r="I15" s="38" t="n">
        <f aca="false">IFERROR(IF(E15="Core",497,IF(E15="Growth",597,IF(E15="Concierge",697,0))),0)</f>
        <v>0</v>
      </c>
      <c r="J15" s="39" t="n">
        <f aca="false">IFERROR(Dashboard!$C$7,0.15)</f>
        <v>0.15</v>
      </c>
      <c r="K15" s="40" t="n">
        <f aca="false">IFERROR(IF(L15="Active",I15*J15,0),0)</f>
        <v>0</v>
      </c>
      <c r="L15" s="34"/>
      <c r="M15" s="41" t="s">
        <v>22</v>
      </c>
      <c r="N15" s="41" t="s">
        <v>22</v>
      </c>
      <c r="O15" s="42"/>
    </row>
    <row r="16" customFormat="false" ht="19.5" hidden="false" customHeight="true" outlineLevel="0" collapsed="false">
      <c r="A16" s="19" t="n">
        <v>9</v>
      </c>
      <c r="B16" s="20"/>
      <c r="C16" s="21"/>
      <c r="D16" s="21"/>
      <c r="E16" s="22"/>
      <c r="F16" s="23" t="n">
        <f aca="false">IFERROR(IF(E16="Core",2997,IF(E16="Growth",4997,IF(E16="Concierge",5997,0))),0)</f>
        <v>0</v>
      </c>
      <c r="G16" s="24" t="n">
        <f aca="false">IFERROR(Dashboard!$C$7,0.15)</f>
        <v>0.15</v>
      </c>
      <c r="H16" s="25" t="n">
        <f aca="false">IFERROR(F16*G16,0)</f>
        <v>0</v>
      </c>
      <c r="I16" s="26" t="n">
        <f aca="false">IFERROR(IF(E16="Core",497,IF(E16="Growth",597,IF(E16="Concierge",697,0))),0)</f>
        <v>0</v>
      </c>
      <c r="J16" s="27" t="n">
        <f aca="false">IFERROR(Dashboard!$C$7,0.15)</f>
        <v>0.15</v>
      </c>
      <c r="K16" s="28" t="n">
        <f aca="false">IFERROR(IF(L16="Active",I16*J16,0),0)</f>
        <v>0</v>
      </c>
      <c r="L16" s="22"/>
      <c r="M16" s="29" t="s">
        <v>22</v>
      </c>
      <c r="N16" s="29" t="s">
        <v>22</v>
      </c>
      <c r="O16" s="30"/>
    </row>
    <row r="17" customFormat="false" ht="19.5" hidden="false" customHeight="true" outlineLevel="0" collapsed="false">
      <c r="A17" s="31" t="n">
        <v>10</v>
      </c>
      <c r="B17" s="32"/>
      <c r="C17" s="33"/>
      <c r="D17" s="33"/>
      <c r="E17" s="34"/>
      <c r="F17" s="35" t="n">
        <f aca="false">IFERROR(IF(E17="Core",2997,IF(E17="Growth",4997,IF(E17="Concierge",5997,0))),0)</f>
        <v>0</v>
      </c>
      <c r="G17" s="36" t="n">
        <f aca="false">IFERROR(Dashboard!$C$7,0.15)</f>
        <v>0.15</v>
      </c>
      <c r="H17" s="37" t="n">
        <f aca="false">IFERROR(F17*G17,0)</f>
        <v>0</v>
      </c>
      <c r="I17" s="38" t="n">
        <f aca="false">IFERROR(IF(E17="Core",497,IF(E17="Growth",597,IF(E17="Concierge",697,0))),0)</f>
        <v>0</v>
      </c>
      <c r="J17" s="39" t="n">
        <f aca="false">IFERROR(Dashboard!$C$7,0.15)</f>
        <v>0.15</v>
      </c>
      <c r="K17" s="40" t="n">
        <f aca="false">IFERROR(IF(L17="Active",I17*J17,0),0)</f>
        <v>0</v>
      </c>
      <c r="L17" s="34"/>
      <c r="M17" s="41" t="s">
        <v>22</v>
      </c>
      <c r="N17" s="41" t="s">
        <v>22</v>
      </c>
      <c r="O17" s="42"/>
    </row>
    <row r="18" customFormat="false" ht="19.5" hidden="false" customHeight="true" outlineLevel="0" collapsed="false">
      <c r="A18" s="19" t="n">
        <v>11</v>
      </c>
      <c r="B18" s="20"/>
      <c r="C18" s="21"/>
      <c r="D18" s="21"/>
      <c r="E18" s="22"/>
      <c r="F18" s="23" t="n">
        <f aca="false">IFERROR(IF(E18="Core",2997,IF(E18="Growth",4997,IF(E18="Concierge",5997,0))),0)</f>
        <v>0</v>
      </c>
      <c r="G18" s="24" t="n">
        <f aca="false">IFERROR(Dashboard!$C$7,0.15)</f>
        <v>0.15</v>
      </c>
      <c r="H18" s="25" t="n">
        <f aca="false">IFERROR(F18*G18,0)</f>
        <v>0</v>
      </c>
      <c r="I18" s="26" t="n">
        <f aca="false">IFERROR(IF(E18="Core",497,IF(E18="Growth",597,IF(E18="Concierge",697,0))),0)</f>
        <v>0</v>
      </c>
      <c r="J18" s="27" t="n">
        <f aca="false">IFERROR(Dashboard!$C$7,0.15)</f>
        <v>0.15</v>
      </c>
      <c r="K18" s="28" t="n">
        <f aca="false">IFERROR(IF(L18="Active",I18*J18,0),0)</f>
        <v>0</v>
      </c>
      <c r="L18" s="22"/>
      <c r="M18" s="29" t="s">
        <v>22</v>
      </c>
      <c r="N18" s="29" t="s">
        <v>22</v>
      </c>
      <c r="O18" s="30"/>
    </row>
    <row r="19" customFormat="false" ht="19.5" hidden="false" customHeight="true" outlineLevel="0" collapsed="false">
      <c r="A19" s="31" t="n">
        <v>12</v>
      </c>
      <c r="B19" s="32"/>
      <c r="C19" s="33"/>
      <c r="D19" s="33"/>
      <c r="E19" s="34"/>
      <c r="F19" s="35" t="n">
        <f aca="false">IFERROR(IF(E19="Core",2997,IF(E19="Growth",4997,IF(E19="Concierge",5997,0))),0)</f>
        <v>0</v>
      </c>
      <c r="G19" s="36" t="n">
        <f aca="false">IFERROR(Dashboard!$C$7,0.15)</f>
        <v>0.15</v>
      </c>
      <c r="H19" s="37" t="n">
        <f aca="false">IFERROR(F19*G19,0)</f>
        <v>0</v>
      </c>
      <c r="I19" s="38" t="n">
        <f aca="false">IFERROR(IF(E19="Core",497,IF(E19="Growth",597,IF(E19="Concierge",697,0))),0)</f>
        <v>0</v>
      </c>
      <c r="J19" s="39" t="n">
        <f aca="false">IFERROR(Dashboard!$C$7,0.15)</f>
        <v>0.15</v>
      </c>
      <c r="K19" s="40" t="n">
        <f aca="false">IFERROR(IF(L19="Active",I19*J19,0),0)</f>
        <v>0</v>
      </c>
      <c r="L19" s="34"/>
      <c r="M19" s="41" t="s">
        <v>22</v>
      </c>
      <c r="N19" s="41" t="s">
        <v>22</v>
      </c>
      <c r="O19" s="42"/>
    </row>
    <row r="20" customFormat="false" ht="19.5" hidden="false" customHeight="true" outlineLevel="0" collapsed="false">
      <c r="A20" s="19" t="n">
        <v>13</v>
      </c>
      <c r="B20" s="20"/>
      <c r="C20" s="21"/>
      <c r="D20" s="21"/>
      <c r="E20" s="22"/>
      <c r="F20" s="23" t="n">
        <f aca="false">IFERROR(IF(E20="Core",2997,IF(E20="Growth",4997,IF(E20="Concierge",5997,0))),0)</f>
        <v>0</v>
      </c>
      <c r="G20" s="24" t="n">
        <f aca="false">IFERROR(Dashboard!$C$7,0.15)</f>
        <v>0.15</v>
      </c>
      <c r="H20" s="25" t="n">
        <f aca="false">IFERROR(F20*G20,0)</f>
        <v>0</v>
      </c>
      <c r="I20" s="26" t="n">
        <f aca="false">IFERROR(IF(E20="Core",497,IF(E20="Growth",597,IF(E20="Concierge",697,0))),0)</f>
        <v>0</v>
      </c>
      <c r="J20" s="27" t="n">
        <f aca="false">IFERROR(Dashboard!$C$7,0.15)</f>
        <v>0.15</v>
      </c>
      <c r="K20" s="28" t="n">
        <f aca="false">IFERROR(IF(L20="Active",I20*J20,0),0)</f>
        <v>0</v>
      </c>
      <c r="L20" s="22"/>
      <c r="M20" s="29" t="s">
        <v>22</v>
      </c>
      <c r="N20" s="29" t="s">
        <v>22</v>
      </c>
      <c r="O20" s="30"/>
    </row>
    <row r="21" customFormat="false" ht="19.5" hidden="false" customHeight="true" outlineLevel="0" collapsed="false">
      <c r="A21" s="31" t="n">
        <v>14</v>
      </c>
      <c r="B21" s="32"/>
      <c r="C21" s="33"/>
      <c r="D21" s="33"/>
      <c r="E21" s="34"/>
      <c r="F21" s="35" t="n">
        <f aca="false">IFERROR(IF(E21="Core",2997,IF(E21="Growth",4997,IF(E21="Concierge",5997,0))),0)</f>
        <v>0</v>
      </c>
      <c r="G21" s="36" t="n">
        <f aca="false">IFERROR(Dashboard!$C$7,0.15)</f>
        <v>0.15</v>
      </c>
      <c r="H21" s="37" t="n">
        <f aca="false">IFERROR(F21*G21,0)</f>
        <v>0</v>
      </c>
      <c r="I21" s="38" t="n">
        <f aca="false">IFERROR(IF(E21="Core",497,IF(E21="Growth",597,IF(E21="Concierge",697,0))),0)</f>
        <v>0</v>
      </c>
      <c r="J21" s="39" t="n">
        <f aca="false">IFERROR(Dashboard!$C$7,0.15)</f>
        <v>0.15</v>
      </c>
      <c r="K21" s="40" t="n">
        <f aca="false">IFERROR(IF(L21="Active",I21*J21,0),0)</f>
        <v>0</v>
      </c>
      <c r="L21" s="34"/>
      <c r="M21" s="41" t="s">
        <v>22</v>
      </c>
      <c r="N21" s="41" t="s">
        <v>22</v>
      </c>
      <c r="O21" s="42"/>
    </row>
    <row r="22" customFormat="false" ht="19.5" hidden="false" customHeight="true" outlineLevel="0" collapsed="false">
      <c r="A22" s="19" t="n">
        <v>15</v>
      </c>
      <c r="B22" s="20"/>
      <c r="C22" s="21"/>
      <c r="D22" s="21"/>
      <c r="E22" s="22"/>
      <c r="F22" s="23" t="n">
        <f aca="false">IFERROR(IF(E22="Core",2997,IF(E22="Growth",4997,IF(E22="Concierge",5997,0))),0)</f>
        <v>0</v>
      </c>
      <c r="G22" s="24" t="n">
        <f aca="false">IFERROR(Dashboard!$C$7,0.15)</f>
        <v>0.15</v>
      </c>
      <c r="H22" s="25" t="n">
        <f aca="false">IFERROR(F22*G22,0)</f>
        <v>0</v>
      </c>
      <c r="I22" s="26" t="n">
        <f aca="false">IFERROR(IF(E22="Core",497,IF(E22="Growth",597,IF(E22="Concierge",697,0))),0)</f>
        <v>0</v>
      </c>
      <c r="J22" s="27" t="n">
        <f aca="false">IFERROR(Dashboard!$C$7,0.15)</f>
        <v>0.15</v>
      </c>
      <c r="K22" s="28" t="n">
        <f aca="false">IFERROR(IF(L22="Active",I22*J22,0),0)</f>
        <v>0</v>
      </c>
      <c r="L22" s="22"/>
      <c r="M22" s="29" t="s">
        <v>22</v>
      </c>
      <c r="N22" s="29" t="s">
        <v>22</v>
      </c>
      <c r="O22" s="30"/>
    </row>
    <row r="23" customFormat="false" ht="19.5" hidden="false" customHeight="true" outlineLevel="0" collapsed="false">
      <c r="A23" s="31" t="n">
        <v>16</v>
      </c>
      <c r="B23" s="32"/>
      <c r="C23" s="33"/>
      <c r="D23" s="33"/>
      <c r="E23" s="34"/>
      <c r="F23" s="35" t="n">
        <f aca="false">IFERROR(IF(E23="Core",2997,IF(E23="Growth",4997,IF(E23="Concierge",5997,0))),0)</f>
        <v>0</v>
      </c>
      <c r="G23" s="36" t="n">
        <f aca="false">IFERROR(Dashboard!$C$7,0.15)</f>
        <v>0.15</v>
      </c>
      <c r="H23" s="37" t="n">
        <f aca="false">IFERROR(F23*G23,0)</f>
        <v>0</v>
      </c>
      <c r="I23" s="38" t="n">
        <f aca="false">IFERROR(IF(E23="Core",497,IF(E23="Growth",597,IF(E23="Concierge",697,0))),0)</f>
        <v>0</v>
      </c>
      <c r="J23" s="39" t="n">
        <f aca="false">IFERROR(Dashboard!$C$7,0.15)</f>
        <v>0.15</v>
      </c>
      <c r="K23" s="40" t="n">
        <f aca="false">IFERROR(IF(L23="Active",I23*J23,0),0)</f>
        <v>0</v>
      </c>
      <c r="L23" s="34"/>
      <c r="M23" s="41" t="s">
        <v>22</v>
      </c>
      <c r="N23" s="41" t="s">
        <v>22</v>
      </c>
      <c r="O23" s="42"/>
    </row>
    <row r="24" customFormat="false" ht="19.5" hidden="false" customHeight="true" outlineLevel="0" collapsed="false">
      <c r="A24" s="19" t="n">
        <v>17</v>
      </c>
      <c r="B24" s="20"/>
      <c r="C24" s="21"/>
      <c r="D24" s="21"/>
      <c r="E24" s="22"/>
      <c r="F24" s="23" t="n">
        <f aca="false">IFERROR(IF(E24="Core",2997,IF(E24="Growth",4997,IF(E24="Concierge",5997,0))),0)</f>
        <v>0</v>
      </c>
      <c r="G24" s="24" t="n">
        <f aca="false">IFERROR(Dashboard!$C$7,0.15)</f>
        <v>0.15</v>
      </c>
      <c r="H24" s="25" t="n">
        <f aca="false">IFERROR(F24*G24,0)</f>
        <v>0</v>
      </c>
      <c r="I24" s="26" t="n">
        <f aca="false">IFERROR(IF(E24="Core",497,IF(E24="Growth",597,IF(E24="Concierge",697,0))),0)</f>
        <v>0</v>
      </c>
      <c r="J24" s="27" t="n">
        <f aca="false">IFERROR(Dashboard!$C$7,0.15)</f>
        <v>0.15</v>
      </c>
      <c r="K24" s="28" t="n">
        <f aca="false">IFERROR(IF(L24="Active",I24*J24,0),0)</f>
        <v>0</v>
      </c>
      <c r="L24" s="22"/>
      <c r="M24" s="29" t="s">
        <v>22</v>
      </c>
      <c r="N24" s="29" t="s">
        <v>22</v>
      </c>
      <c r="O24" s="30"/>
    </row>
    <row r="25" customFormat="false" ht="19.5" hidden="false" customHeight="true" outlineLevel="0" collapsed="false">
      <c r="A25" s="31" t="n">
        <v>18</v>
      </c>
      <c r="B25" s="32"/>
      <c r="C25" s="33"/>
      <c r="D25" s="33"/>
      <c r="E25" s="34"/>
      <c r="F25" s="35" t="n">
        <f aca="false">IFERROR(IF(E25="Core",2997,IF(E25="Growth",4997,IF(E25="Concierge",5997,0))),0)</f>
        <v>0</v>
      </c>
      <c r="G25" s="36" t="n">
        <f aca="false">IFERROR(Dashboard!$C$7,0.15)</f>
        <v>0.15</v>
      </c>
      <c r="H25" s="37" t="n">
        <f aca="false">IFERROR(F25*G25,0)</f>
        <v>0</v>
      </c>
      <c r="I25" s="38" t="n">
        <f aca="false">IFERROR(IF(E25="Core",497,IF(E25="Growth",597,IF(E25="Concierge",697,0))),0)</f>
        <v>0</v>
      </c>
      <c r="J25" s="39" t="n">
        <f aca="false">IFERROR(Dashboard!$C$7,0.15)</f>
        <v>0.15</v>
      </c>
      <c r="K25" s="40" t="n">
        <f aca="false">IFERROR(IF(L25="Active",I25*J25,0),0)</f>
        <v>0</v>
      </c>
      <c r="L25" s="34"/>
      <c r="M25" s="41" t="s">
        <v>22</v>
      </c>
      <c r="N25" s="41" t="s">
        <v>22</v>
      </c>
      <c r="O25" s="42"/>
    </row>
    <row r="26" customFormat="false" ht="19.5" hidden="false" customHeight="true" outlineLevel="0" collapsed="false">
      <c r="A26" s="19" t="n">
        <v>19</v>
      </c>
      <c r="B26" s="20"/>
      <c r="C26" s="21"/>
      <c r="D26" s="21"/>
      <c r="E26" s="22"/>
      <c r="F26" s="23" t="n">
        <f aca="false">IFERROR(IF(E26="Core",2997,IF(E26="Growth",4997,IF(E26="Concierge",5997,0))),0)</f>
        <v>0</v>
      </c>
      <c r="G26" s="24" t="n">
        <f aca="false">IFERROR(Dashboard!$C$7,0.15)</f>
        <v>0.15</v>
      </c>
      <c r="H26" s="25" t="n">
        <f aca="false">IFERROR(F26*G26,0)</f>
        <v>0</v>
      </c>
      <c r="I26" s="26" t="n">
        <f aca="false">IFERROR(IF(E26="Core",497,IF(E26="Growth",597,IF(E26="Concierge",697,0))),0)</f>
        <v>0</v>
      </c>
      <c r="J26" s="27" t="n">
        <f aca="false">IFERROR(Dashboard!$C$7,0.15)</f>
        <v>0.15</v>
      </c>
      <c r="K26" s="28" t="n">
        <f aca="false">IFERROR(IF(L26="Active",I26*J26,0),0)</f>
        <v>0</v>
      </c>
      <c r="L26" s="22"/>
      <c r="M26" s="29" t="s">
        <v>22</v>
      </c>
      <c r="N26" s="29" t="s">
        <v>22</v>
      </c>
      <c r="O26" s="30"/>
    </row>
    <row r="27" customFormat="false" ht="19.5" hidden="false" customHeight="true" outlineLevel="0" collapsed="false">
      <c r="A27" s="31" t="n">
        <v>20</v>
      </c>
      <c r="B27" s="32"/>
      <c r="C27" s="33"/>
      <c r="D27" s="33"/>
      <c r="E27" s="34"/>
      <c r="F27" s="35" t="n">
        <f aca="false">IFERROR(IF(E27="Core",2997,IF(E27="Growth",4997,IF(E27="Concierge",5997,0))),0)</f>
        <v>0</v>
      </c>
      <c r="G27" s="36" t="n">
        <f aca="false">IFERROR(Dashboard!$C$7,0.15)</f>
        <v>0.15</v>
      </c>
      <c r="H27" s="37" t="n">
        <f aca="false">IFERROR(F27*G27,0)</f>
        <v>0</v>
      </c>
      <c r="I27" s="38" t="n">
        <f aca="false">IFERROR(IF(E27="Core",497,IF(E27="Growth",597,IF(E27="Concierge",697,0))),0)</f>
        <v>0</v>
      </c>
      <c r="J27" s="39" t="n">
        <f aca="false">IFERROR(Dashboard!$C$7,0.15)</f>
        <v>0.15</v>
      </c>
      <c r="K27" s="40" t="n">
        <f aca="false">IFERROR(IF(L27="Active",I27*J27,0),0)</f>
        <v>0</v>
      </c>
      <c r="L27" s="34"/>
      <c r="M27" s="41" t="s">
        <v>22</v>
      </c>
      <c r="N27" s="41" t="s">
        <v>22</v>
      </c>
      <c r="O27" s="42"/>
    </row>
    <row r="28" customFormat="false" ht="19.5" hidden="false" customHeight="true" outlineLevel="0" collapsed="false">
      <c r="A28" s="19" t="n">
        <v>21</v>
      </c>
      <c r="B28" s="20"/>
      <c r="C28" s="21"/>
      <c r="D28" s="21"/>
      <c r="E28" s="22"/>
      <c r="F28" s="23" t="n">
        <f aca="false">IFERROR(IF(E28="Core",2997,IF(E28="Growth",4997,IF(E28="Concierge",5997,0))),0)</f>
        <v>0</v>
      </c>
      <c r="G28" s="24" t="n">
        <f aca="false">IFERROR(Dashboard!$C$7,0.15)</f>
        <v>0.15</v>
      </c>
      <c r="H28" s="25" t="n">
        <f aca="false">IFERROR(F28*G28,0)</f>
        <v>0</v>
      </c>
      <c r="I28" s="26" t="n">
        <f aca="false">IFERROR(IF(E28="Core",497,IF(E28="Growth",597,IF(E28="Concierge",697,0))),0)</f>
        <v>0</v>
      </c>
      <c r="J28" s="27" t="n">
        <f aca="false">IFERROR(Dashboard!$C$7,0.15)</f>
        <v>0.15</v>
      </c>
      <c r="K28" s="28" t="n">
        <f aca="false">IFERROR(IF(L28="Active",I28*J28,0),0)</f>
        <v>0</v>
      </c>
      <c r="L28" s="22"/>
      <c r="M28" s="29" t="s">
        <v>22</v>
      </c>
      <c r="N28" s="29" t="s">
        <v>22</v>
      </c>
      <c r="O28" s="30"/>
    </row>
    <row r="29" customFormat="false" ht="19.5" hidden="false" customHeight="true" outlineLevel="0" collapsed="false">
      <c r="A29" s="31" t="n">
        <v>22</v>
      </c>
      <c r="B29" s="32"/>
      <c r="C29" s="33"/>
      <c r="D29" s="33"/>
      <c r="E29" s="34"/>
      <c r="F29" s="35" t="n">
        <f aca="false">IFERROR(IF(E29="Core",2997,IF(E29="Growth",4997,IF(E29="Concierge",5997,0))),0)</f>
        <v>0</v>
      </c>
      <c r="G29" s="36" t="n">
        <f aca="false">IFERROR(Dashboard!$C$7,0.15)</f>
        <v>0.15</v>
      </c>
      <c r="H29" s="37" t="n">
        <f aca="false">IFERROR(F29*G29,0)</f>
        <v>0</v>
      </c>
      <c r="I29" s="38" t="n">
        <f aca="false">IFERROR(IF(E29="Core",497,IF(E29="Growth",597,IF(E29="Concierge",697,0))),0)</f>
        <v>0</v>
      </c>
      <c r="J29" s="39" t="n">
        <f aca="false">IFERROR(Dashboard!$C$7,0.15)</f>
        <v>0.15</v>
      </c>
      <c r="K29" s="40" t="n">
        <f aca="false">IFERROR(IF(L29="Active",I29*J29,0),0)</f>
        <v>0</v>
      </c>
      <c r="L29" s="34"/>
      <c r="M29" s="41" t="s">
        <v>22</v>
      </c>
      <c r="N29" s="41" t="s">
        <v>22</v>
      </c>
      <c r="O29" s="42"/>
    </row>
    <row r="30" customFormat="false" ht="19.5" hidden="false" customHeight="true" outlineLevel="0" collapsed="false">
      <c r="A30" s="19" t="n">
        <v>23</v>
      </c>
      <c r="B30" s="20"/>
      <c r="C30" s="21"/>
      <c r="D30" s="21"/>
      <c r="E30" s="22"/>
      <c r="F30" s="23" t="n">
        <f aca="false">IFERROR(IF(E30="Core",2997,IF(E30="Growth",4997,IF(E30="Concierge",5997,0))),0)</f>
        <v>0</v>
      </c>
      <c r="G30" s="24" t="n">
        <f aca="false">IFERROR(Dashboard!$C$7,0.15)</f>
        <v>0.15</v>
      </c>
      <c r="H30" s="25" t="n">
        <f aca="false">IFERROR(F30*G30,0)</f>
        <v>0</v>
      </c>
      <c r="I30" s="26" t="n">
        <f aca="false">IFERROR(IF(E30="Core",497,IF(E30="Growth",597,IF(E30="Concierge",697,0))),0)</f>
        <v>0</v>
      </c>
      <c r="J30" s="27" t="n">
        <f aca="false">IFERROR(Dashboard!$C$7,0.15)</f>
        <v>0.15</v>
      </c>
      <c r="K30" s="28" t="n">
        <f aca="false">IFERROR(IF(L30="Active",I30*J30,0),0)</f>
        <v>0</v>
      </c>
      <c r="L30" s="22"/>
      <c r="M30" s="29" t="s">
        <v>22</v>
      </c>
      <c r="N30" s="29" t="s">
        <v>22</v>
      </c>
      <c r="O30" s="30"/>
    </row>
    <row r="31" customFormat="false" ht="19.5" hidden="false" customHeight="true" outlineLevel="0" collapsed="false">
      <c r="A31" s="31" t="n">
        <v>24</v>
      </c>
      <c r="B31" s="32"/>
      <c r="C31" s="33"/>
      <c r="D31" s="33"/>
      <c r="E31" s="34"/>
      <c r="F31" s="35" t="n">
        <f aca="false">IFERROR(IF(E31="Core",2997,IF(E31="Growth",4997,IF(E31="Concierge",5997,0))),0)</f>
        <v>0</v>
      </c>
      <c r="G31" s="36" t="n">
        <f aca="false">IFERROR(Dashboard!$C$7,0.15)</f>
        <v>0.15</v>
      </c>
      <c r="H31" s="37" t="n">
        <f aca="false">IFERROR(F31*G31,0)</f>
        <v>0</v>
      </c>
      <c r="I31" s="38" t="n">
        <f aca="false">IFERROR(IF(E31="Core",497,IF(E31="Growth",597,IF(E31="Concierge",697,0))),0)</f>
        <v>0</v>
      </c>
      <c r="J31" s="39" t="n">
        <f aca="false">IFERROR(Dashboard!$C$7,0.15)</f>
        <v>0.15</v>
      </c>
      <c r="K31" s="40" t="n">
        <f aca="false">IFERROR(IF(L31="Active",I31*J31,0),0)</f>
        <v>0</v>
      </c>
      <c r="L31" s="34"/>
      <c r="M31" s="41" t="s">
        <v>22</v>
      </c>
      <c r="N31" s="41" t="s">
        <v>22</v>
      </c>
      <c r="O31" s="42"/>
    </row>
    <row r="32" customFormat="false" ht="19.5" hidden="false" customHeight="true" outlineLevel="0" collapsed="false">
      <c r="A32" s="19" t="n">
        <v>25</v>
      </c>
      <c r="B32" s="20"/>
      <c r="C32" s="21"/>
      <c r="D32" s="21"/>
      <c r="E32" s="22"/>
      <c r="F32" s="23" t="n">
        <f aca="false">IFERROR(IF(E32="Core",2997,IF(E32="Growth",4997,IF(E32="Concierge",5997,0))),0)</f>
        <v>0</v>
      </c>
      <c r="G32" s="24" t="n">
        <f aca="false">IFERROR(Dashboard!$C$7,0.15)</f>
        <v>0.15</v>
      </c>
      <c r="H32" s="25" t="n">
        <f aca="false">IFERROR(F32*G32,0)</f>
        <v>0</v>
      </c>
      <c r="I32" s="26" t="n">
        <f aca="false">IFERROR(IF(E32="Core",497,IF(E32="Growth",597,IF(E32="Concierge",697,0))),0)</f>
        <v>0</v>
      </c>
      <c r="J32" s="27" t="n">
        <f aca="false">IFERROR(Dashboard!$C$7,0.15)</f>
        <v>0.15</v>
      </c>
      <c r="K32" s="28" t="n">
        <f aca="false">IFERROR(IF(L32="Active",I32*J32,0),0)</f>
        <v>0</v>
      </c>
      <c r="L32" s="22"/>
      <c r="M32" s="29" t="s">
        <v>22</v>
      </c>
      <c r="N32" s="29" t="s">
        <v>22</v>
      </c>
      <c r="O32" s="30"/>
    </row>
    <row r="33" customFormat="false" ht="19.5" hidden="false" customHeight="true" outlineLevel="0" collapsed="false">
      <c r="A33" s="31" t="n">
        <v>26</v>
      </c>
      <c r="B33" s="32"/>
      <c r="C33" s="33"/>
      <c r="D33" s="33"/>
      <c r="E33" s="34"/>
      <c r="F33" s="35" t="n">
        <f aca="false">IFERROR(IF(E33="Core",2997,IF(E33="Growth",4997,IF(E33="Concierge",5997,0))),0)</f>
        <v>0</v>
      </c>
      <c r="G33" s="36" t="n">
        <f aca="false">IFERROR(Dashboard!$C$7,0.15)</f>
        <v>0.15</v>
      </c>
      <c r="H33" s="37" t="n">
        <f aca="false">IFERROR(F33*G33,0)</f>
        <v>0</v>
      </c>
      <c r="I33" s="38" t="n">
        <f aca="false">IFERROR(IF(E33="Core",497,IF(E33="Growth",597,IF(E33="Concierge",697,0))),0)</f>
        <v>0</v>
      </c>
      <c r="J33" s="39" t="n">
        <f aca="false">IFERROR(Dashboard!$C$7,0.15)</f>
        <v>0.15</v>
      </c>
      <c r="K33" s="40" t="n">
        <f aca="false">IFERROR(IF(L33="Active",I33*J33,0),0)</f>
        <v>0</v>
      </c>
      <c r="L33" s="34"/>
      <c r="M33" s="41" t="s">
        <v>22</v>
      </c>
      <c r="N33" s="41" t="s">
        <v>22</v>
      </c>
      <c r="O33" s="42"/>
    </row>
    <row r="34" customFormat="false" ht="19.5" hidden="false" customHeight="true" outlineLevel="0" collapsed="false">
      <c r="A34" s="19" t="n">
        <v>27</v>
      </c>
      <c r="B34" s="20"/>
      <c r="C34" s="21"/>
      <c r="D34" s="21"/>
      <c r="E34" s="22"/>
      <c r="F34" s="23" t="n">
        <f aca="false">IFERROR(IF(E34="Core",2997,IF(E34="Growth",4997,IF(E34="Concierge",5997,0))),0)</f>
        <v>0</v>
      </c>
      <c r="G34" s="24" t="n">
        <f aca="false">IFERROR(Dashboard!$C$7,0.15)</f>
        <v>0.15</v>
      </c>
      <c r="H34" s="25" t="n">
        <f aca="false">IFERROR(F34*G34,0)</f>
        <v>0</v>
      </c>
      <c r="I34" s="26" t="n">
        <f aca="false">IFERROR(IF(E34="Core",497,IF(E34="Growth",597,IF(E34="Concierge",697,0))),0)</f>
        <v>0</v>
      </c>
      <c r="J34" s="27" t="n">
        <f aca="false">IFERROR(Dashboard!$C$7,0.15)</f>
        <v>0.15</v>
      </c>
      <c r="K34" s="28" t="n">
        <f aca="false">IFERROR(IF(L34="Active",I34*J34,0),0)</f>
        <v>0</v>
      </c>
      <c r="L34" s="22"/>
      <c r="M34" s="29" t="s">
        <v>22</v>
      </c>
      <c r="N34" s="29" t="s">
        <v>22</v>
      </c>
      <c r="O34" s="30"/>
    </row>
    <row r="35" customFormat="false" ht="19.5" hidden="false" customHeight="true" outlineLevel="0" collapsed="false">
      <c r="A35" s="31" t="n">
        <v>28</v>
      </c>
      <c r="B35" s="32"/>
      <c r="C35" s="33"/>
      <c r="D35" s="33"/>
      <c r="E35" s="34"/>
      <c r="F35" s="35" t="n">
        <f aca="false">IFERROR(IF(E35="Core",2997,IF(E35="Growth",4997,IF(E35="Concierge",5997,0))),0)</f>
        <v>0</v>
      </c>
      <c r="G35" s="36" t="n">
        <f aca="false">IFERROR(Dashboard!$C$7,0.15)</f>
        <v>0.15</v>
      </c>
      <c r="H35" s="37" t="n">
        <f aca="false">IFERROR(F35*G35,0)</f>
        <v>0</v>
      </c>
      <c r="I35" s="38" t="n">
        <f aca="false">IFERROR(IF(E35="Core",497,IF(E35="Growth",597,IF(E35="Concierge",697,0))),0)</f>
        <v>0</v>
      </c>
      <c r="J35" s="39" t="n">
        <f aca="false">IFERROR(Dashboard!$C$7,0.15)</f>
        <v>0.15</v>
      </c>
      <c r="K35" s="40" t="n">
        <f aca="false">IFERROR(IF(L35="Active",I35*J35,0),0)</f>
        <v>0</v>
      </c>
      <c r="L35" s="34"/>
      <c r="M35" s="41" t="s">
        <v>22</v>
      </c>
      <c r="N35" s="41" t="s">
        <v>22</v>
      </c>
      <c r="O35" s="42"/>
    </row>
    <row r="36" customFormat="false" ht="19.5" hidden="false" customHeight="true" outlineLevel="0" collapsed="false">
      <c r="A36" s="19" t="n">
        <v>29</v>
      </c>
      <c r="B36" s="20"/>
      <c r="C36" s="21"/>
      <c r="D36" s="21"/>
      <c r="E36" s="22"/>
      <c r="F36" s="23" t="n">
        <f aca="false">IFERROR(IF(E36="Core",2997,IF(E36="Growth",4997,IF(E36="Concierge",5997,0))),0)</f>
        <v>0</v>
      </c>
      <c r="G36" s="24" t="n">
        <f aca="false">IFERROR(Dashboard!$C$7,0.15)</f>
        <v>0.15</v>
      </c>
      <c r="H36" s="25" t="n">
        <f aca="false">IFERROR(F36*G36,0)</f>
        <v>0</v>
      </c>
      <c r="I36" s="26" t="n">
        <f aca="false">IFERROR(IF(E36="Core",497,IF(E36="Growth",597,IF(E36="Concierge",697,0))),0)</f>
        <v>0</v>
      </c>
      <c r="J36" s="27" t="n">
        <f aca="false">IFERROR(Dashboard!$C$7,0.15)</f>
        <v>0.15</v>
      </c>
      <c r="K36" s="28" t="n">
        <f aca="false">IFERROR(IF(L36="Active",I36*J36,0),0)</f>
        <v>0</v>
      </c>
      <c r="L36" s="22"/>
      <c r="M36" s="29" t="s">
        <v>22</v>
      </c>
      <c r="N36" s="29" t="s">
        <v>22</v>
      </c>
      <c r="O36" s="30"/>
    </row>
    <row r="37" customFormat="false" ht="19.5" hidden="false" customHeight="true" outlineLevel="0" collapsed="false">
      <c r="A37" s="31" t="n">
        <v>30</v>
      </c>
      <c r="B37" s="32"/>
      <c r="C37" s="33"/>
      <c r="D37" s="33"/>
      <c r="E37" s="34"/>
      <c r="F37" s="35" t="n">
        <f aca="false">IFERROR(IF(E37="Core",2997,IF(E37="Growth",4997,IF(E37="Concierge",5997,0))),0)</f>
        <v>0</v>
      </c>
      <c r="G37" s="36" t="n">
        <f aca="false">IFERROR(Dashboard!$C$7,0.15)</f>
        <v>0.15</v>
      </c>
      <c r="H37" s="37" t="n">
        <f aca="false">IFERROR(F37*G37,0)</f>
        <v>0</v>
      </c>
      <c r="I37" s="38" t="n">
        <f aca="false">IFERROR(IF(E37="Core",497,IF(E37="Growth",597,IF(E37="Concierge",697,0))),0)</f>
        <v>0</v>
      </c>
      <c r="J37" s="39" t="n">
        <f aca="false">IFERROR(Dashboard!$C$7,0.15)</f>
        <v>0.15</v>
      </c>
      <c r="K37" s="40" t="n">
        <f aca="false">IFERROR(IF(L37="Active",I37*J37,0),0)</f>
        <v>0</v>
      </c>
      <c r="L37" s="34"/>
      <c r="M37" s="41" t="s">
        <v>22</v>
      </c>
      <c r="N37" s="41" t="s">
        <v>22</v>
      </c>
      <c r="O37" s="42"/>
    </row>
    <row r="38" customFormat="false" ht="19.5" hidden="false" customHeight="true" outlineLevel="0" collapsed="false">
      <c r="A38" s="19" t="n">
        <v>31</v>
      </c>
      <c r="B38" s="20"/>
      <c r="C38" s="21"/>
      <c r="D38" s="21"/>
      <c r="E38" s="22"/>
      <c r="F38" s="23" t="n">
        <f aca="false">IFERROR(IF(E38="Core",2997,IF(E38="Growth",4997,IF(E38="Concierge",5997,0))),0)</f>
        <v>0</v>
      </c>
      <c r="G38" s="24" t="n">
        <f aca="false">IFERROR(Dashboard!$C$7,0.15)</f>
        <v>0.15</v>
      </c>
      <c r="H38" s="25" t="n">
        <f aca="false">IFERROR(F38*G38,0)</f>
        <v>0</v>
      </c>
      <c r="I38" s="26" t="n">
        <f aca="false">IFERROR(IF(E38="Core",497,IF(E38="Growth",597,IF(E38="Concierge",697,0))),0)</f>
        <v>0</v>
      </c>
      <c r="J38" s="27" t="n">
        <f aca="false">IFERROR(Dashboard!$C$7,0.15)</f>
        <v>0.15</v>
      </c>
      <c r="K38" s="28" t="n">
        <f aca="false">IFERROR(IF(L38="Active",I38*J38,0),0)</f>
        <v>0</v>
      </c>
      <c r="L38" s="22"/>
      <c r="M38" s="29" t="s">
        <v>22</v>
      </c>
      <c r="N38" s="29" t="s">
        <v>22</v>
      </c>
      <c r="O38" s="30"/>
    </row>
    <row r="39" customFormat="false" ht="19.5" hidden="false" customHeight="true" outlineLevel="0" collapsed="false">
      <c r="A39" s="31" t="n">
        <v>32</v>
      </c>
      <c r="B39" s="32"/>
      <c r="C39" s="33"/>
      <c r="D39" s="33"/>
      <c r="E39" s="34"/>
      <c r="F39" s="35" t="n">
        <f aca="false">IFERROR(IF(E39="Core",2997,IF(E39="Growth",4997,IF(E39="Concierge",5997,0))),0)</f>
        <v>0</v>
      </c>
      <c r="G39" s="36" t="n">
        <f aca="false">IFERROR(Dashboard!$C$7,0.15)</f>
        <v>0.15</v>
      </c>
      <c r="H39" s="37" t="n">
        <f aca="false">IFERROR(F39*G39,0)</f>
        <v>0</v>
      </c>
      <c r="I39" s="38" t="n">
        <f aca="false">IFERROR(IF(E39="Core",497,IF(E39="Growth",597,IF(E39="Concierge",697,0))),0)</f>
        <v>0</v>
      </c>
      <c r="J39" s="39" t="n">
        <f aca="false">IFERROR(Dashboard!$C$7,0.15)</f>
        <v>0.15</v>
      </c>
      <c r="K39" s="40" t="n">
        <f aca="false">IFERROR(IF(L39="Active",I39*J39,0),0)</f>
        <v>0</v>
      </c>
      <c r="L39" s="34"/>
      <c r="M39" s="41" t="s">
        <v>22</v>
      </c>
      <c r="N39" s="41" t="s">
        <v>22</v>
      </c>
      <c r="O39" s="42"/>
    </row>
    <row r="40" customFormat="false" ht="19.5" hidden="false" customHeight="true" outlineLevel="0" collapsed="false">
      <c r="A40" s="19" t="n">
        <v>33</v>
      </c>
      <c r="B40" s="20"/>
      <c r="C40" s="21"/>
      <c r="D40" s="21"/>
      <c r="E40" s="22"/>
      <c r="F40" s="23" t="n">
        <f aca="false">IFERROR(IF(E40="Core",2997,IF(E40="Growth",4997,IF(E40="Concierge",5997,0))),0)</f>
        <v>0</v>
      </c>
      <c r="G40" s="24" t="n">
        <f aca="false">IFERROR(Dashboard!$C$7,0.15)</f>
        <v>0.15</v>
      </c>
      <c r="H40" s="25" t="n">
        <f aca="false">IFERROR(F40*G40,0)</f>
        <v>0</v>
      </c>
      <c r="I40" s="26" t="n">
        <f aca="false">IFERROR(IF(E40="Core",497,IF(E40="Growth",597,IF(E40="Concierge",697,0))),0)</f>
        <v>0</v>
      </c>
      <c r="J40" s="27" t="n">
        <f aca="false">IFERROR(Dashboard!$C$7,0.15)</f>
        <v>0.15</v>
      </c>
      <c r="K40" s="28" t="n">
        <f aca="false">IFERROR(IF(L40="Active",I40*J40,0),0)</f>
        <v>0</v>
      </c>
      <c r="L40" s="22"/>
      <c r="M40" s="29" t="s">
        <v>22</v>
      </c>
      <c r="N40" s="29" t="s">
        <v>22</v>
      </c>
      <c r="O40" s="30"/>
    </row>
    <row r="41" customFormat="false" ht="19.5" hidden="false" customHeight="true" outlineLevel="0" collapsed="false">
      <c r="A41" s="31" t="n">
        <v>34</v>
      </c>
      <c r="B41" s="32"/>
      <c r="C41" s="33"/>
      <c r="D41" s="33"/>
      <c r="E41" s="34"/>
      <c r="F41" s="35" t="n">
        <f aca="false">IFERROR(IF(E41="Core",2997,IF(E41="Growth",4997,IF(E41="Concierge",5997,0))),0)</f>
        <v>0</v>
      </c>
      <c r="G41" s="36" t="n">
        <f aca="false">IFERROR(Dashboard!$C$7,0.15)</f>
        <v>0.15</v>
      </c>
      <c r="H41" s="37" t="n">
        <f aca="false">IFERROR(F41*G41,0)</f>
        <v>0</v>
      </c>
      <c r="I41" s="38" t="n">
        <f aca="false">IFERROR(IF(E41="Core",497,IF(E41="Growth",597,IF(E41="Concierge",697,0))),0)</f>
        <v>0</v>
      </c>
      <c r="J41" s="39" t="n">
        <f aca="false">IFERROR(Dashboard!$C$7,0.15)</f>
        <v>0.15</v>
      </c>
      <c r="K41" s="40" t="n">
        <f aca="false">IFERROR(IF(L41="Active",I41*J41,0),0)</f>
        <v>0</v>
      </c>
      <c r="L41" s="34"/>
      <c r="M41" s="41" t="s">
        <v>22</v>
      </c>
      <c r="N41" s="41" t="s">
        <v>22</v>
      </c>
      <c r="O41" s="42"/>
    </row>
    <row r="42" customFormat="false" ht="19.5" hidden="false" customHeight="true" outlineLevel="0" collapsed="false">
      <c r="A42" s="19" t="n">
        <v>35</v>
      </c>
      <c r="B42" s="20"/>
      <c r="C42" s="21"/>
      <c r="D42" s="21"/>
      <c r="E42" s="22"/>
      <c r="F42" s="23" t="n">
        <f aca="false">IFERROR(IF(E42="Core",2997,IF(E42="Growth",4997,IF(E42="Concierge",5997,0))),0)</f>
        <v>0</v>
      </c>
      <c r="G42" s="24" t="n">
        <f aca="false">IFERROR(Dashboard!$C$7,0.15)</f>
        <v>0.15</v>
      </c>
      <c r="H42" s="25" t="n">
        <f aca="false">IFERROR(F42*G42,0)</f>
        <v>0</v>
      </c>
      <c r="I42" s="26" t="n">
        <f aca="false">IFERROR(IF(E42="Core",497,IF(E42="Growth",597,IF(E42="Concierge",697,0))),0)</f>
        <v>0</v>
      </c>
      <c r="J42" s="27" t="n">
        <f aca="false">IFERROR(Dashboard!$C$7,0.15)</f>
        <v>0.15</v>
      </c>
      <c r="K42" s="28" t="n">
        <f aca="false">IFERROR(IF(L42="Active",I42*J42,0),0)</f>
        <v>0</v>
      </c>
      <c r="L42" s="22"/>
      <c r="M42" s="29" t="s">
        <v>22</v>
      </c>
      <c r="N42" s="29" t="s">
        <v>22</v>
      </c>
      <c r="O42" s="30"/>
    </row>
    <row r="43" customFormat="false" ht="19.5" hidden="false" customHeight="true" outlineLevel="0" collapsed="false">
      <c r="A43" s="31" t="n">
        <v>36</v>
      </c>
      <c r="B43" s="32"/>
      <c r="C43" s="33"/>
      <c r="D43" s="33"/>
      <c r="E43" s="34"/>
      <c r="F43" s="35" t="n">
        <f aca="false">IFERROR(IF(E43="Core",2997,IF(E43="Growth",4997,IF(E43="Concierge",5997,0))),0)</f>
        <v>0</v>
      </c>
      <c r="G43" s="36" t="n">
        <f aca="false">IFERROR(Dashboard!$C$7,0.15)</f>
        <v>0.15</v>
      </c>
      <c r="H43" s="37" t="n">
        <f aca="false">IFERROR(F43*G43,0)</f>
        <v>0</v>
      </c>
      <c r="I43" s="38" t="n">
        <f aca="false">IFERROR(IF(E43="Core",497,IF(E43="Growth",597,IF(E43="Concierge",697,0))),0)</f>
        <v>0</v>
      </c>
      <c r="J43" s="39" t="n">
        <f aca="false">IFERROR(Dashboard!$C$7,0.15)</f>
        <v>0.15</v>
      </c>
      <c r="K43" s="40" t="n">
        <f aca="false">IFERROR(IF(L43="Active",I43*J43,0),0)</f>
        <v>0</v>
      </c>
      <c r="L43" s="34"/>
      <c r="M43" s="41" t="s">
        <v>22</v>
      </c>
      <c r="N43" s="41" t="s">
        <v>22</v>
      </c>
      <c r="O43" s="42"/>
    </row>
    <row r="44" customFormat="false" ht="19.5" hidden="false" customHeight="true" outlineLevel="0" collapsed="false">
      <c r="A44" s="19" t="n">
        <v>37</v>
      </c>
      <c r="B44" s="20"/>
      <c r="C44" s="21"/>
      <c r="D44" s="21"/>
      <c r="E44" s="22"/>
      <c r="F44" s="23" t="n">
        <f aca="false">IFERROR(IF(E44="Core",2997,IF(E44="Growth",4997,IF(E44="Concierge",5997,0))),0)</f>
        <v>0</v>
      </c>
      <c r="G44" s="24" t="n">
        <f aca="false">IFERROR(Dashboard!$C$7,0.15)</f>
        <v>0.15</v>
      </c>
      <c r="H44" s="25" t="n">
        <f aca="false">IFERROR(F44*G44,0)</f>
        <v>0</v>
      </c>
      <c r="I44" s="26" t="n">
        <f aca="false">IFERROR(IF(E44="Core",497,IF(E44="Growth",597,IF(E44="Concierge",697,0))),0)</f>
        <v>0</v>
      </c>
      <c r="J44" s="27" t="n">
        <f aca="false">IFERROR(Dashboard!$C$7,0.15)</f>
        <v>0.15</v>
      </c>
      <c r="K44" s="28" t="n">
        <f aca="false">IFERROR(IF(L44="Active",I44*J44,0),0)</f>
        <v>0</v>
      </c>
      <c r="L44" s="22"/>
      <c r="M44" s="29" t="s">
        <v>22</v>
      </c>
      <c r="N44" s="29" t="s">
        <v>22</v>
      </c>
      <c r="O44" s="30"/>
    </row>
    <row r="45" customFormat="false" ht="19.5" hidden="false" customHeight="true" outlineLevel="0" collapsed="false">
      <c r="A45" s="31" t="n">
        <v>38</v>
      </c>
      <c r="B45" s="32"/>
      <c r="C45" s="33"/>
      <c r="D45" s="33"/>
      <c r="E45" s="34"/>
      <c r="F45" s="35" t="n">
        <f aca="false">IFERROR(IF(E45="Core",2997,IF(E45="Growth",4997,IF(E45="Concierge",5997,0))),0)</f>
        <v>0</v>
      </c>
      <c r="G45" s="36" t="n">
        <f aca="false">IFERROR(Dashboard!$C$7,0.15)</f>
        <v>0.15</v>
      </c>
      <c r="H45" s="37" t="n">
        <f aca="false">IFERROR(F45*G45,0)</f>
        <v>0</v>
      </c>
      <c r="I45" s="38" t="n">
        <f aca="false">IFERROR(IF(E45="Core",497,IF(E45="Growth",597,IF(E45="Concierge",697,0))),0)</f>
        <v>0</v>
      </c>
      <c r="J45" s="39" t="n">
        <f aca="false">IFERROR(Dashboard!$C$7,0.15)</f>
        <v>0.15</v>
      </c>
      <c r="K45" s="40" t="n">
        <f aca="false">IFERROR(IF(L45="Active",I45*J45,0),0)</f>
        <v>0</v>
      </c>
      <c r="L45" s="34"/>
      <c r="M45" s="41" t="s">
        <v>22</v>
      </c>
      <c r="N45" s="41" t="s">
        <v>22</v>
      </c>
      <c r="O45" s="42"/>
    </row>
    <row r="46" customFormat="false" ht="19.5" hidden="false" customHeight="true" outlineLevel="0" collapsed="false">
      <c r="A46" s="19" t="n">
        <v>39</v>
      </c>
      <c r="B46" s="20"/>
      <c r="C46" s="21"/>
      <c r="D46" s="21"/>
      <c r="E46" s="22"/>
      <c r="F46" s="23" t="n">
        <f aca="false">IFERROR(IF(E46="Core",2997,IF(E46="Growth",4997,IF(E46="Concierge",5997,0))),0)</f>
        <v>0</v>
      </c>
      <c r="G46" s="24" t="n">
        <f aca="false">IFERROR(Dashboard!$C$7,0.15)</f>
        <v>0.15</v>
      </c>
      <c r="H46" s="25" t="n">
        <f aca="false">IFERROR(F46*G46,0)</f>
        <v>0</v>
      </c>
      <c r="I46" s="26" t="n">
        <f aca="false">IFERROR(IF(E46="Core",497,IF(E46="Growth",597,IF(E46="Concierge",697,0))),0)</f>
        <v>0</v>
      </c>
      <c r="J46" s="27" t="n">
        <f aca="false">IFERROR(Dashboard!$C$7,0.15)</f>
        <v>0.15</v>
      </c>
      <c r="K46" s="28" t="n">
        <f aca="false">IFERROR(IF(L46="Active",I46*J46,0),0)</f>
        <v>0</v>
      </c>
      <c r="L46" s="22"/>
      <c r="M46" s="29" t="s">
        <v>22</v>
      </c>
      <c r="N46" s="29" t="s">
        <v>22</v>
      </c>
      <c r="O46" s="30"/>
    </row>
    <row r="47" customFormat="false" ht="19.5" hidden="false" customHeight="true" outlineLevel="0" collapsed="false">
      <c r="A47" s="31" t="n">
        <v>40</v>
      </c>
      <c r="B47" s="32"/>
      <c r="C47" s="33"/>
      <c r="D47" s="33"/>
      <c r="E47" s="34"/>
      <c r="F47" s="35" t="n">
        <f aca="false">IFERROR(IF(E47="Core",2997,IF(E47="Growth",4997,IF(E47="Concierge",5997,0))),0)</f>
        <v>0</v>
      </c>
      <c r="G47" s="36" t="n">
        <f aca="false">IFERROR(Dashboard!$C$7,0.15)</f>
        <v>0.15</v>
      </c>
      <c r="H47" s="37" t="n">
        <f aca="false">IFERROR(F47*G47,0)</f>
        <v>0</v>
      </c>
      <c r="I47" s="38" t="n">
        <f aca="false">IFERROR(IF(E47="Core",497,IF(E47="Growth",597,IF(E47="Concierge",697,0))),0)</f>
        <v>0</v>
      </c>
      <c r="J47" s="39" t="n">
        <f aca="false">IFERROR(Dashboard!$C$7,0.15)</f>
        <v>0.15</v>
      </c>
      <c r="K47" s="40" t="n">
        <f aca="false">IFERROR(IF(L47="Active",I47*J47,0),0)</f>
        <v>0</v>
      </c>
      <c r="L47" s="34"/>
      <c r="M47" s="41" t="s">
        <v>22</v>
      </c>
      <c r="N47" s="41" t="s">
        <v>22</v>
      </c>
      <c r="O47" s="42"/>
    </row>
    <row r="48" customFormat="false" ht="19.5" hidden="false" customHeight="true" outlineLevel="0" collapsed="false">
      <c r="A48" s="19" t="n">
        <v>41</v>
      </c>
      <c r="B48" s="20"/>
      <c r="C48" s="21"/>
      <c r="D48" s="21"/>
      <c r="E48" s="22"/>
      <c r="F48" s="23" t="n">
        <f aca="false">IFERROR(IF(E48="Core",2997,IF(E48="Growth",4997,IF(E48="Concierge",5997,0))),0)</f>
        <v>0</v>
      </c>
      <c r="G48" s="24" t="n">
        <f aca="false">IFERROR(Dashboard!$C$7,0.15)</f>
        <v>0.15</v>
      </c>
      <c r="H48" s="25" t="n">
        <f aca="false">IFERROR(F48*G48,0)</f>
        <v>0</v>
      </c>
      <c r="I48" s="26" t="n">
        <f aca="false">IFERROR(IF(E48="Core",497,IF(E48="Growth",597,IF(E48="Concierge",697,0))),0)</f>
        <v>0</v>
      </c>
      <c r="J48" s="27" t="n">
        <f aca="false">IFERROR(Dashboard!$C$7,0.15)</f>
        <v>0.15</v>
      </c>
      <c r="K48" s="28" t="n">
        <f aca="false">IFERROR(IF(L48="Active",I48*J48,0),0)</f>
        <v>0</v>
      </c>
      <c r="L48" s="22"/>
      <c r="M48" s="29" t="s">
        <v>22</v>
      </c>
      <c r="N48" s="29" t="s">
        <v>22</v>
      </c>
      <c r="O48" s="30"/>
    </row>
    <row r="49" customFormat="false" ht="19.5" hidden="false" customHeight="true" outlineLevel="0" collapsed="false">
      <c r="A49" s="31" t="n">
        <v>42</v>
      </c>
      <c r="B49" s="32"/>
      <c r="C49" s="33"/>
      <c r="D49" s="33"/>
      <c r="E49" s="34"/>
      <c r="F49" s="35" t="n">
        <f aca="false">IFERROR(IF(E49="Core",2997,IF(E49="Growth",4997,IF(E49="Concierge",5997,0))),0)</f>
        <v>0</v>
      </c>
      <c r="G49" s="36" t="n">
        <f aca="false">IFERROR(Dashboard!$C$7,0.15)</f>
        <v>0.15</v>
      </c>
      <c r="H49" s="37" t="n">
        <f aca="false">IFERROR(F49*G49,0)</f>
        <v>0</v>
      </c>
      <c r="I49" s="38" t="n">
        <f aca="false">IFERROR(IF(E49="Core",497,IF(E49="Growth",597,IF(E49="Concierge",697,0))),0)</f>
        <v>0</v>
      </c>
      <c r="J49" s="39" t="n">
        <f aca="false">IFERROR(Dashboard!$C$7,0.15)</f>
        <v>0.15</v>
      </c>
      <c r="K49" s="40" t="n">
        <f aca="false">IFERROR(IF(L49="Active",I49*J49,0),0)</f>
        <v>0</v>
      </c>
      <c r="L49" s="34"/>
      <c r="M49" s="41" t="s">
        <v>22</v>
      </c>
      <c r="N49" s="41" t="s">
        <v>22</v>
      </c>
      <c r="O49" s="42"/>
    </row>
    <row r="50" customFormat="false" ht="19.5" hidden="false" customHeight="true" outlineLevel="0" collapsed="false">
      <c r="A50" s="19" t="n">
        <v>43</v>
      </c>
      <c r="B50" s="20"/>
      <c r="C50" s="21"/>
      <c r="D50" s="21"/>
      <c r="E50" s="22"/>
      <c r="F50" s="23" t="n">
        <f aca="false">IFERROR(IF(E50="Core",2997,IF(E50="Growth",4997,IF(E50="Concierge",5997,0))),0)</f>
        <v>0</v>
      </c>
      <c r="G50" s="24" t="n">
        <f aca="false">IFERROR(Dashboard!$C$7,0.15)</f>
        <v>0.15</v>
      </c>
      <c r="H50" s="25" t="n">
        <f aca="false">IFERROR(F50*G50,0)</f>
        <v>0</v>
      </c>
      <c r="I50" s="26" t="n">
        <f aca="false">IFERROR(IF(E50="Core",497,IF(E50="Growth",597,IF(E50="Concierge",697,0))),0)</f>
        <v>0</v>
      </c>
      <c r="J50" s="27" t="n">
        <f aca="false">IFERROR(Dashboard!$C$7,0.15)</f>
        <v>0.15</v>
      </c>
      <c r="K50" s="28" t="n">
        <f aca="false">IFERROR(IF(L50="Active",I50*J50,0),0)</f>
        <v>0</v>
      </c>
      <c r="L50" s="22"/>
      <c r="M50" s="29" t="s">
        <v>22</v>
      </c>
      <c r="N50" s="29" t="s">
        <v>22</v>
      </c>
      <c r="O50" s="30"/>
    </row>
    <row r="51" customFormat="false" ht="19.5" hidden="false" customHeight="true" outlineLevel="0" collapsed="false">
      <c r="A51" s="31" t="n">
        <v>44</v>
      </c>
      <c r="B51" s="32"/>
      <c r="C51" s="33"/>
      <c r="D51" s="33"/>
      <c r="E51" s="34"/>
      <c r="F51" s="35" t="n">
        <f aca="false">IFERROR(IF(E51="Core",2997,IF(E51="Growth",4997,IF(E51="Concierge",5997,0))),0)</f>
        <v>0</v>
      </c>
      <c r="G51" s="36" t="n">
        <f aca="false">IFERROR(Dashboard!$C$7,0.15)</f>
        <v>0.15</v>
      </c>
      <c r="H51" s="37" t="n">
        <f aca="false">IFERROR(F51*G51,0)</f>
        <v>0</v>
      </c>
      <c r="I51" s="38" t="n">
        <f aca="false">IFERROR(IF(E51="Core",497,IF(E51="Growth",597,IF(E51="Concierge",697,0))),0)</f>
        <v>0</v>
      </c>
      <c r="J51" s="39" t="n">
        <f aca="false">IFERROR(Dashboard!$C$7,0.15)</f>
        <v>0.15</v>
      </c>
      <c r="K51" s="40" t="n">
        <f aca="false">IFERROR(IF(L51="Active",I51*J51,0),0)</f>
        <v>0</v>
      </c>
      <c r="L51" s="34"/>
      <c r="M51" s="41" t="s">
        <v>22</v>
      </c>
      <c r="N51" s="41" t="s">
        <v>22</v>
      </c>
      <c r="O51" s="42"/>
    </row>
    <row r="52" customFormat="false" ht="19.5" hidden="false" customHeight="true" outlineLevel="0" collapsed="false">
      <c r="A52" s="19" t="n">
        <v>45</v>
      </c>
      <c r="B52" s="20"/>
      <c r="C52" s="21"/>
      <c r="D52" s="21"/>
      <c r="E52" s="22"/>
      <c r="F52" s="23" t="n">
        <f aca="false">IFERROR(IF(E52="Core",2997,IF(E52="Growth",4997,IF(E52="Concierge",5997,0))),0)</f>
        <v>0</v>
      </c>
      <c r="G52" s="24" t="n">
        <f aca="false">IFERROR(Dashboard!$C$7,0.15)</f>
        <v>0.15</v>
      </c>
      <c r="H52" s="25" t="n">
        <f aca="false">IFERROR(F52*G52,0)</f>
        <v>0</v>
      </c>
      <c r="I52" s="26" t="n">
        <f aca="false">IFERROR(IF(E52="Core",497,IF(E52="Growth",597,IF(E52="Concierge",697,0))),0)</f>
        <v>0</v>
      </c>
      <c r="J52" s="27" t="n">
        <f aca="false">IFERROR(Dashboard!$C$7,0.15)</f>
        <v>0.15</v>
      </c>
      <c r="K52" s="28" t="n">
        <f aca="false">IFERROR(IF(L52="Active",I52*J52,0),0)</f>
        <v>0</v>
      </c>
      <c r="L52" s="22"/>
      <c r="M52" s="29" t="s">
        <v>22</v>
      </c>
      <c r="N52" s="29" t="s">
        <v>22</v>
      </c>
      <c r="O52" s="30"/>
    </row>
    <row r="53" customFormat="false" ht="19.5" hidden="false" customHeight="true" outlineLevel="0" collapsed="false">
      <c r="A53" s="31" t="n">
        <v>46</v>
      </c>
      <c r="B53" s="32"/>
      <c r="C53" s="33"/>
      <c r="D53" s="33"/>
      <c r="E53" s="34"/>
      <c r="F53" s="35" t="n">
        <f aca="false">IFERROR(IF(E53="Core",2997,IF(E53="Growth",4997,IF(E53="Concierge",5997,0))),0)</f>
        <v>0</v>
      </c>
      <c r="G53" s="36" t="n">
        <f aca="false">IFERROR(Dashboard!$C$7,0.15)</f>
        <v>0.15</v>
      </c>
      <c r="H53" s="37" t="n">
        <f aca="false">IFERROR(F53*G53,0)</f>
        <v>0</v>
      </c>
      <c r="I53" s="38" t="n">
        <f aca="false">IFERROR(IF(E53="Core",497,IF(E53="Growth",597,IF(E53="Concierge",697,0))),0)</f>
        <v>0</v>
      </c>
      <c r="J53" s="39" t="n">
        <f aca="false">IFERROR(Dashboard!$C$7,0.15)</f>
        <v>0.15</v>
      </c>
      <c r="K53" s="40" t="n">
        <f aca="false">IFERROR(IF(L53="Active",I53*J53,0),0)</f>
        <v>0</v>
      </c>
      <c r="L53" s="34"/>
      <c r="M53" s="41" t="s">
        <v>22</v>
      </c>
      <c r="N53" s="41" t="s">
        <v>22</v>
      </c>
      <c r="O53" s="42"/>
    </row>
    <row r="54" customFormat="false" ht="19.5" hidden="false" customHeight="true" outlineLevel="0" collapsed="false">
      <c r="A54" s="19" t="n">
        <v>47</v>
      </c>
      <c r="B54" s="20"/>
      <c r="C54" s="21"/>
      <c r="D54" s="21"/>
      <c r="E54" s="22"/>
      <c r="F54" s="23" t="n">
        <f aca="false">IFERROR(IF(E54="Core",2997,IF(E54="Growth",4997,IF(E54="Concierge",5997,0))),0)</f>
        <v>0</v>
      </c>
      <c r="G54" s="24" t="n">
        <f aca="false">IFERROR(Dashboard!$C$7,0.15)</f>
        <v>0.15</v>
      </c>
      <c r="H54" s="25" t="n">
        <f aca="false">IFERROR(F54*G54,0)</f>
        <v>0</v>
      </c>
      <c r="I54" s="26" t="n">
        <f aca="false">IFERROR(IF(E54="Core",497,IF(E54="Growth",597,IF(E54="Concierge",697,0))),0)</f>
        <v>0</v>
      </c>
      <c r="J54" s="27" t="n">
        <f aca="false">IFERROR(Dashboard!$C$7,0.15)</f>
        <v>0.15</v>
      </c>
      <c r="K54" s="28" t="n">
        <f aca="false">IFERROR(IF(L54="Active",I54*J54,0),0)</f>
        <v>0</v>
      </c>
      <c r="L54" s="22"/>
      <c r="M54" s="29" t="s">
        <v>22</v>
      </c>
      <c r="N54" s="29" t="s">
        <v>22</v>
      </c>
      <c r="O54" s="30"/>
    </row>
    <row r="55" customFormat="false" ht="19.5" hidden="false" customHeight="true" outlineLevel="0" collapsed="false">
      <c r="A55" s="31" t="n">
        <v>48</v>
      </c>
      <c r="B55" s="32"/>
      <c r="C55" s="33"/>
      <c r="D55" s="33"/>
      <c r="E55" s="34"/>
      <c r="F55" s="35" t="n">
        <f aca="false">IFERROR(IF(E55="Core",2997,IF(E55="Growth",4997,IF(E55="Concierge",5997,0))),0)</f>
        <v>0</v>
      </c>
      <c r="G55" s="36" t="n">
        <f aca="false">IFERROR(Dashboard!$C$7,0.15)</f>
        <v>0.15</v>
      </c>
      <c r="H55" s="37" t="n">
        <f aca="false">IFERROR(F55*G55,0)</f>
        <v>0</v>
      </c>
      <c r="I55" s="38" t="n">
        <f aca="false">IFERROR(IF(E55="Core",497,IF(E55="Growth",597,IF(E55="Concierge",697,0))),0)</f>
        <v>0</v>
      </c>
      <c r="J55" s="39" t="n">
        <f aca="false">IFERROR(Dashboard!$C$7,0.15)</f>
        <v>0.15</v>
      </c>
      <c r="K55" s="40" t="n">
        <f aca="false">IFERROR(IF(L55="Active",I55*J55,0),0)</f>
        <v>0</v>
      </c>
      <c r="L55" s="34"/>
      <c r="M55" s="41" t="s">
        <v>22</v>
      </c>
      <c r="N55" s="41" t="s">
        <v>22</v>
      </c>
      <c r="O55" s="42"/>
    </row>
    <row r="56" customFormat="false" ht="19.5" hidden="false" customHeight="true" outlineLevel="0" collapsed="false">
      <c r="A56" s="19" t="n">
        <v>49</v>
      </c>
      <c r="B56" s="20"/>
      <c r="C56" s="21"/>
      <c r="D56" s="21"/>
      <c r="E56" s="22"/>
      <c r="F56" s="23" t="n">
        <f aca="false">IFERROR(IF(E56="Core",2997,IF(E56="Growth",4997,IF(E56="Concierge",5997,0))),0)</f>
        <v>0</v>
      </c>
      <c r="G56" s="24" t="n">
        <f aca="false">IFERROR(Dashboard!$C$7,0.15)</f>
        <v>0.15</v>
      </c>
      <c r="H56" s="25" t="n">
        <f aca="false">IFERROR(F56*G56,0)</f>
        <v>0</v>
      </c>
      <c r="I56" s="26" t="n">
        <f aca="false">IFERROR(IF(E56="Core",497,IF(E56="Growth",597,IF(E56="Concierge",697,0))),0)</f>
        <v>0</v>
      </c>
      <c r="J56" s="27" t="n">
        <f aca="false">IFERROR(Dashboard!$C$7,0.15)</f>
        <v>0.15</v>
      </c>
      <c r="K56" s="28" t="n">
        <f aca="false">IFERROR(IF(L56="Active",I56*J56,0),0)</f>
        <v>0</v>
      </c>
      <c r="L56" s="22"/>
      <c r="M56" s="29" t="s">
        <v>22</v>
      </c>
      <c r="N56" s="29" t="s">
        <v>22</v>
      </c>
      <c r="O56" s="30"/>
    </row>
    <row r="57" customFormat="false" ht="19.5" hidden="false" customHeight="true" outlineLevel="0" collapsed="false">
      <c r="A57" s="31" t="n">
        <v>50</v>
      </c>
      <c r="B57" s="32"/>
      <c r="C57" s="33"/>
      <c r="D57" s="33"/>
      <c r="E57" s="34"/>
      <c r="F57" s="35" t="n">
        <f aca="false">IFERROR(IF(E57="Core",2997,IF(E57="Growth",4997,IF(E57="Concierge",5997,0))),0)</f>
        <v>0</v>
      </c>
      <c r="G57" s="36" t="n">
        <f aca="false">IFERROR(Dashboard!$C$7,0.15)</f>
        <v>0.15</v>
      </c>
      <c r="H57" s="37" t="n">
        <f aca="false">IFERROR(F57*G57,0)</f>
        <v>0</v>
      </c>
      <c r="I57" s="38" t="n">
        <f aca="false">IFERROR(IF(E57="Core",497,IF(E57="Growth",597,IF(E57="Concierge",697,0))),0)</f>
        <v>0</v>
      </c>
      <c r="J57" s="39" t="n">
        <f aca="false">IFERROR(Dashboard!$C$7,0.15)</f>
        <v>0.15</v>
      </c>
      <c r="K57" s="40" t="n">
        <f aca="false">IFERROR(IF(L57="Active",I57*J57,0),0)</f>
        <v>0</v>
      </c>
      <c r="L57" s="34"/>
      <c r="M57" s="41" t="s">
        <v>22</v>
      </c>
      <c r="N57" s="41" t="s">
        <v>22</v>
      </c>
      <c r="O57" s="42"/>
    </row>
    <row r="58" customFormat="false" ht="19.5" hidden="false" customHeight="true" outlineLevel="0" collapsed="false">
      <c r="A58" s="19" t="n">
        <v>51</v>
      </c>
      <c r="B58" s="20"/>
      <c r="C58" s="21"/>
      <c r="D58" s="21"/>
      <c r="E58" s="22"/>
      <c r="F58" s="23" t="n">
        <f aca="false">IFERROR(IF(E58="Core",2997,IF(E58="Growth",4997,IF(E58="Concierge",5997,0))),0)</f>
        <v>0</v>
      </c>
      <c r="G58" s="24" t="n">
        <f aca="false">IFERROR(Dashboard!$C$7,0.15)</f>
        <v>0.15</v>
      </c>
      <c r="H58" s="25" t="n">
        <f aca="false">IFERROR(F58*G58,0)</f>
        <v>0</v>
      </c>
      <c r="I58" s="26" t="n">
        <f aca="false">IFERROR(IF(E58="Core",497,IF(E58="Growth",597,IF(E58="Concierge",697,0))),0)</f>
        <v>0</v>
      </c>
      <c r="J58" s="27" t="n">
        <f aca="false">IFERROR(Dashboard!$C$7,0.15)</f>
        <v>0.15</v>
      </c>
      <c r="K58" s="28" t="n">
        <f aca="false">IFERROR(IF(L58="Active",I58*J58,0),0)</f>
        <v>0</v>
      </c>
      <c r="L58" s="22"/>
      <c r="M58" s="29" t="s">
        <v>22</v>
      </c>
      <c r="N58" s="29" t="s">
        <v>22</v>
      </c>
      <c r="O58" s="30"/>
    </row>
    <row r="59" customFormat="false" ht="19.5" hidden="false" customHeight="true" outlineLevel="0" collapsed="false">
      <c r="A59" s="31" t="n">
        <v>52</v>
      </c>
      <c r="B59" s="32"/>
      <c r="C59" s="33"/>
      <c r="D59" s="33"/>
      <c r="E59" s="34"/>
      <c r="F59" s="35" t="n">
        <f aca="false">IFERROR(IF(E59="Core",2997,IF(E59="Growth",4997,IF(E59="Concierge",5997,0))),0)</f>
        <v>0</v>
      </c>
      <c r="G59" s="36" t="n">
        <f aca="false">IFERROR(Dashboard!$C$7,0.15)</f>
        <v>0.15</v>
      </c>
      <c r="H59" s="37" t="n">
        <f aca="false">IFERROR(F59*G59,0)</f>
        <v>0</v>
      </c>
      <c r="I59" s="38" t="n">
        <f aca="false">IFERROR(IF(E59="Core",497,IF(E59="Growth",597,IF(E59="Concierge",697,0))),0)</f>
        <v>0</v>
      </c>
      <c r="J59" s="39" t="n">
        <f aca="false">IFERROR(Dashboard!$C$7,0.15)</f>
        <v>0.15</v>
      </c>
      <c r="K59" s="40" t="n">
        <f aca="false">IFERROR(IF(L59="Active",I59*J59,0),0)</f>
        <v>0</v>
      </c>
      <c r="L59" s="34"/>
      <c r="M59" s="41" t="s">
        <v>22</v>
      </c>
      <c r="N59" s="41" t="s">
        <v>22</v>
      </c>
      <c r="O59" s="42"/>
    </row>
    <row r="60" customFormat="false" ht="19.5" hidden="false" customHeight="true" outlineLevel="0" collapsed="false">
      <c r="A60" s="19" t="n">
        <v>53</v>
      </c>
      <c r="B60" s="20"/>
      <c r="C60" s="21"/>
      <c r="D60" s="21"/>
      <c r="E60" s="22"/>
      <c r="F60" s="23" t="n">
        <f aca="false">IFERROR(IF(E60="Core",2997,IF(E60="Growth",4997,IF(E60="Concierge",5997,0))),0)</f>
        <v>0</v>
      </c>
      <c r="G60" s="24" t="n">
        <f aca="false">IFERROR(Dashboard!$C$7,0.15)</f>
        <v>0.15</v>
      </c>
      <c r="H60" s="25" t="n">
        <f aca="false">IFERROR(F60*G60,0)</f>
        <v>0</v>
      </c>
      <c r="I60" s="26" t="n">
        <f aca="false">IFERROR(IF(E60="Core",497,IF(E60="Growth",597,IF(E60="Concierge",697,0))),0)</f>
        <v>0</v>
      </c>
      <c r="J60" s="27" t="n">
        <f aca="false">IFERROR(Dashboard!$C$7,0.15)</f>
        <v>0.15</v>
      </c>
      <c r="K60" s="28" t="n">
        <f aca="false">IFERROR(IF(L60="Active",I60*J60,0),0)</f>
        <v>0</v>
      </c>
      <c r="L60" s="22"/>
      <c r="M60" s="29" t="s">
        <v>22</v>
      </c>
      <c r="N60" s="29" t="s">
        <v>22</v>
      </c>
      <c r="O60" s="30"/>
    </row>
    <row r="61" customFormat="false" ht="19.5" hidden="false" customHeight="true" outlineLevel="0" collapsed="false">
      <c r="A61" s="31" t="n">
        <v>54</v>
      </c>
      <c r="B61" s="32"/>
      <c r="C61" s="33"/>
      <c r="D61" s="33"/>
      <c r="E61" s="34"/>
      <c r="F61" s="35" t="n">
        <f aca="false">IFERROR(IF(E61="Core",2997,IF(E61="Growth",4997,IF(E61="Concierge",5997,0))),0)</f>
        <v>0</v>
      </c>
      <c r="G61" s="36" t="n">
        <f aca="false">IFERROR(Dashboard!$C$7,0.15)</f>
        <v>0.15</v>
      </c>
      <c r="H61" s="37" t="n">
        <f aca="false">IFERROR(F61*G61,0)</f>
        <v>0</v>
      </c>
      <c r="I61" s="38" t="n">
        <f aca="false">IFERROR(IF(E61="Core",497,IF(E61="Growth",597,IF(E61="Concierge",697,0))),0)</f>
        <v>0</v>
      </c>
      <c r="J61" s="39" t="n">
        <f aca="false">IFERROR(Dashboard!$C$7,0.15)</f>
        <v>0.15</v>
      </c>
      <c r="K61" s="40" t="n">
        <f aca="false">IFERROR(IF(L61="Active",I61*J61,0),0)</f>
        <v>0</v>
      </c>
      <c r="L61" s="34"/>
      <c r="M61" s="41" t="s">
        <v>22</v>
      </c>
      <c r="N61" s="41" t="s">
        <v>22</v>
      </c>
      <c r="O61" s="42"/>
    </row>
    <row r="62" customFormat="false" ht="19.5" hidden="false" customHeight="true" outlineLevel="0" collapsed="false">
      <c r="A62" s="19" t="n">
        <v>55</v>
      </c>
      <c r="B62" s="20"/>
      <c r="C62" s="21"/>
      <c r="D62" s="21"/>
      <c r="E62" s="22"/>
      <c r="F62" s="23" t="n">
        <f aca="false">IFERROR(IF(E62="Core",2997,IF(E62="Growth",4997,IF(E62="Concierge",5997,0))),0)</f>
        <v>0</v>
      </c>
      <c r="G62" s="24" t="n">
        <f aca="false">IFERROR(Dashboard!$C$7,0.15)</f>
        <v>0.15</v>
      </c>
      <c r="H62" s="25" t="n">
        <f aca="false">IFERROR(F62*G62,0)</f>
        <v>0</v>
      </c>
      <c r="I62" s="26" t="n">
        <f aca="false">IFERROR(IF(E62="Core",497,IF(E62="Growth",597,IF(E62="Concierge",697,0))),0)</f>
        <v>0</v>
      </c>
      <c r="J62" s="27" t="n">
        <f aca="false">IFERROR(Dashboard!$C$7,0.15)</f>
        <v>0.15</v>
      </c>
      <c r="K62" s="28" t="n">
        <f aca="false">IFERROR(IF(L62="Active",I62*J62,0),0)</f>
        <v>0</v>
      </c>
      <c r="L62" s="22"/>
      <c r="M62" s="29" t="s">
        <v>22</v>
      </c>
      <c r="N62" s="29" t="s">
        <v>22</v>
      </c>
      <c r="O62" s="30"/>
    </row>
    <row r="63" customFormat="false" ht="19.5" hidden="false" customHeight="true" outlineLevel="0" collapsed="false">
      <c r="A63" s="31" t="n">
        <v>56</v>
      </c>
      <c r="B63" s="32"/>
      <c r="C63" s="33"/>
      <c r="D63" s="33"/>
      <c r="E63" s="34"/>
      <c r="F63" s="35" t="n">
        <f aca="false">IFERROR(IF(E63="Core",2997,IF(E63="Growth",4997,IF(E63="Concierge",5997,0))),0)</f>
        <v>0</v>
      </c>
      <c r="G63" s="36" t="n">
        <f aca="false">IFERROR(Dashboard!$C$7,0.15)</f>
        <v>0.15</v>
      </c>
      <c r="H63" s="37" t="n">
        <f aca="false">IFERROR(F63*G63,0)</f>
        <v>0</v>
      </c>
      <c r="I63" s="38" t="n">
        <f aca="false">IFERROR(IF(E63="Core",497,IF(E63="Growth",597,IF(E63="Concierge",697,0))),0)</f>
        <v>0</v>
      </c>
      <c r="J63" s="39" t="n">
        <f aca="false">IFERROR(Dashboard!$C$7,0.15)</f>
        <v>0.15</v>
      </c>
      <c r="K63" s="40" t="n">
        <f aca="false">IFERROR(IF(L63="Active",I63*J63,0),0)</f>
        <v>0</v>
      </c>
      <c r="L63" s="34"/>
      <c r="M63" s="41" t="s">
        <v>22</v>
      </c>
      <c r="N63" s="41" t="s">
        <v>22</v>
      </c>
      <c r="O63" s="42"/>
    </row>
    <row r="64" customFormat="false" ht="19.5" hidden="false" customHeight="true" outlineLevel="0" collapsed="false">
      <c r="A64" s="19" t="n">
        <v>57</v>
      </c>
      <c r="B64" s="20"/>
      <c r="C64" s="21"/>
      <c r="D64" s="21"/>
      <c r="E64" s="22"/>
      <c r="F64" s="23" t="n">
        <f aca="false">IFERROR(IF(E64="Core",2997,IF(E64="Growth",4997,IF(E64="Concierge",5997,0))),0)</f>
        <v>0</v>
      </c>
      <c r="G64" s="24" t="n">
        <f aca="false">IFERROR(Dashboard!$C$7,0.15)</f>
        <v>0.15</v>
      </c>
      <c r="H64" s="25" t="n">
        <f aca="false">IFERROR(F64*G64,0)</f>
        <v>0</v>
      </c>
      <c r="I64" s="26" t="n">
        <f aca="false">IFERROR(IF(E64="Core",497,IF(E64="Growth",597,IF(E64="Concierge",697,0))),0)</f>
        <v>0</v>
      </c>
      <c r="J64" s="27" t="n">
        <f aca="false">IFERROR(Dashboard!$C$7,0.15)</f>
        <v>0.15</v>
      </c>
      <c r="K64" s="28" t="n">
        <f aca="false">IFERROR(IF(L64="Active",I64*J64,0),0)</f>
        <v>0</v>
      </c>
      <c r="L64" s="22"/>
      <c r="M64" s="29" t="s">
        <v>22</v>
      </c>
      <c r="N64" s="29" t="s">
        <v>22</v>
      </c>
      <c r="O64" s="30"/>
    </row>
    <row r="65" customFormat="false" ht="19.5" hidden="false" customHeight="true" outlineLevel="0" collapsed="false">
      <c r="A65" s="31" t="n">
        <v>58</v>
      </c>
      <c r="B65" s="32"/>
      <c r="C65" s="33"/>
      <c r="D65" s="33"/>
      <c r="E65" s="34"/>
      <c r="F65" s="35" t="n">
        <f aca="false">IFERROR(IF(E65="Core",2997,IF(E65="Growth",4997,IF(E65="Concierge",5997,0))),0)</f>
        <v>0</v>
      </c>
      <c r="G65" s="36" t="n">
        <f aca="false">IFERROR(Dashboard!$C$7,0.15)</f>
        <v>0.15</v>
      </c>
      <c r="H65" s="37" t="n">
        <f aca="false">IFERROR(F65*G65,0)</f>
        <v>0</v>
      </c>
      <c r="I65" s="38" t="n">
        <f aca="false">IFERROR(IF(E65="Core",497,IF(E65="Growth",597,IF(E65="Concierge",697,0))),0)</f>
        <v>0</v>
      </c>
      <c r="J65" s="39" t="n">
        <f aca="false">IFERROR(Dashboard!$C$7,0.15)</f>
        <v>0.15</v>
      </c>
      <c r="K65" s="40" t="n">
        <f aca="false">IFERROR(IF(L65="Active",I65*J65,0),0)</f>
        <v>0</v>
      </c>
      <c r="L65" s="34"/>
      <c r="M65" s="41" t="s">
        <v>22</v>
      </c>
      <c r="N65" s="41" t="s">
        <v>22</v>
      </c>
      <c r="O65" s="42"/>
    </row>
    <row r="66" customFormat="false" ht="19.5" hidden="false" customHeight="true" outlineLevel="0" collapsed="false">
      <c r="A66" s="19" t="n">
        <v>59</v>
      </c>
      <c r="B66" s="20"/>
      <c r="C66" s="21"/>
      <c r="D66" s="21"/>
      <c r="E66" s="22"/>
      <c r="F66" s="23" t="n">
        <f aca="false">IFERROR(IF(E66="Core",2997,IF(E66="Growth",4997,IF(E66="Concierge",5997,0))),0)</f>
        <v>0</v>
      </c>
      <c r="G66" s="24" t="n">
        <f aca="false">IFERROR(Dashboard!$C$7,0.15)</f>
        <v>0.15</v>
      </c>
      <c r="H66" s="25" t="n">
        <f aca="false">IFERROR(F66*G66,0)</f>
        <v>0</v>
      </c>
      <c r="I66" s="26" t="n">
        <f aca="false">IFERROR(IF(E66="Core",497,IF(E66="Growth",597,IF(E66="Concierge",697,0))),0)</f>
        <v>0</v>
      </c>
      <c r="J66" s="27" t="n">
        <f aca="false">IFERROR(Dashboard!$C$7,0.15)</f>
        <v>0.15</v>
      </c>
      <c r="K66" s="28" t="n">
        <f aca="false">IFERROR(IF(L66="Active",I66*J66,0),0)</f>
        <v>0</v>
      </c>
      <c r="L66" s="22"/>
      <c r="M66" s="29" t="s">
        <v>22</v>
      </c>
      <c r="N66" s="29" t="s">
        <v>22</v>
      </c>
      <c r="O66" s="30"/>
    </row>
    <row r="67" customFormat="false" ht="19.5" hidden="false" customHeight="true" outlineLevel="0" collapsed="false">
      <c r="A67" s="31" t="n">
        <v>60</v>
      </c>
      <c r="B67" s="32"/>
      <c r="C67" s="33"/>
      <c r="D67" s="33"/>
      <c r="E67" s="34"/>
      <c r="F67" s="35" t="n">
        <f aca="false">IFERROR(IF(E67="Core",2997,IF(E67="Growth",4997,IF(E67="Concierge",5997,0))),0)</f>
        <v>0</v>
      </c>
      <c r="G67" s="36" t="n">
        <f aca="false">IFERROR(Dashboard!$C$7,0.15)</f>
        <v>0.15</v>
      </c>
      <c r="H67" s="37" t="n">
        <f aca="false">IFERROR(F67*G67,0)</f>
        <v>0</v>
      </c>
      <c r="I67" s="38" t="n">
        <f aca="false">IFERROR(IF(E67="Core",497,IF(E67="Growth",597,IF(E67="Concierge",697,0))),0)</f>
        <v>0</v>
      </c>
      <c r="J67" s="39" t="n">
        <f aca="false">IFERROR(Dashboard!$C$7,0.15)</f>
        <v>0.15</v>
      </c>
      <c r="K67" s="40" t="n">
        <f aca="false">IFERROR(IF(L67="Active",I67*J67,0),0)</f>
        <v>0</v>
      </c>
      <c r="L67" s="34"/>
      <c r="M67" s="41" t="s">
        <v>22</v>
      </c>
      <c r="N67" s="41" t="s">
        <v>22</v>
      </c>
      <c r="O67" s="42"/>
    </row>
    <row r="68" customFormat="false" ht="19.5" hidden="false" customHeight="true" outlineLevel="0" collapsed="false">
      <c r="A68" s="19" t="n">
        <v>61</v>
      </c>
      <c r="B68" s="20"/>
      <c r="C68" s="21"/>
      <c r="D68" s="21"/>
      <c r="E68" s="22"/>
      <c r="F68" s="23" t="n">
        <f aca="false">IFERROR(IF(E68="Core",2997,IF(E68="Growth",4997,IF(E68="Concierge",5997,0))),0)</f>
        <v>0</v>
      </c>
      <c r="G68" s="24" t="n">
        <f aca="false">IFERROR(Dashboard!$C$7,0.15)</f>
        <v>0.15</v>
      </c>
      <c r="H68" s="25" t="n">
        <f aca="false">IFERROR(F68*G68,0)</f>
        <v>0</v>
      </c>
      <c r="I68" s="26" t="n">
        <f aca="false">IFERROR(IF(E68="Core",497,IF(E68="Growth",597,IF(E68="Concierge",697,0))),0)</f>
        <v>0</v>
      </c>
      <c r="J68" s="27" t="n">
        <f aca="false">IFERROR(Dashboard!$C$7,0.15)</f>
        <v>0.15</v>
      </c>
      <c r="K68" s="28" t="n">
        <f aca="false">IFERROR(IF(L68="Active",I68*J68,0),0)</f>
        <v>0</v>
      </c>
      <c r="L68" s="22"/>
      <c r="M68" s="29" t="s">
        <v>22</v>
      </c>
      <c r="N68" s="29" t="s">
        <v>22</v>
      </c>
      <c r="O68" s="30"/>
    </row>
    <row r="69" customFormat="false" ht="19.5" hidden="false" customHeight="true" outlineLevel="0" collapsed="false">
      <c r="A69" s="31" t="n">
        <v>62</v>
      </c>
      <c r="B69" s="32"/>
      <c r="C69" s="33"/>
      <c r="D69" s="33"/>
      <c r="E69" s="34"/>
      <c r="F69" s="35" t="n">
        <f aca="false">IFERROR(IF(E69="Core",2997,IF(E69="Growth",4997,IF(E69="Concierge",5997,0))),0)</f>
        <v>0</v>
      </c>
      <c r="G69" s="36" t="n">
        <f aca="false">IFERROR(Dashboard!$C$7,0.15)</f>
        <v>0.15</v>
      </c>
      <c r="H69" s="37" t="n">
        <f aca="false">IFERROR(F69*G69,0)</f>
        <v>0</v>
      </c>
      <c r="I69" s="38" t="n">
        <f aca="false">IFERROR(IF(E69="Core",497,IF(E69="Growth",597,IF(E69="Concierge",697,0))),0)</f>
        <v>0</v>
      </c>
      <c r="J69" s="39" t="n">
        <f aca="false">IFERROR(Dashboard!$C$7,0.15)</f>
        <v>0.15</v>
      </c>
      <c r="K69" s="40" t="n">
        <f aca="false">IFERROR(IF(L69="Active",I69*J69,0),0)</f>
        <v>0</v>
      </c>
      <c r="L69" s="34"/>
      <c r="M69" s="41" t="s">
        <v>22</v>
      </c>
      <c r="N69" s="41" t="s">
        <v>22</v>
      </c>
      <c r="O69" s="42"/>
    </row>
    <row r="70" customFormat="false" ht="19.5" hidden="false" customHeight="true" outlineLevel="0" collapsed="false">
      <c r="A70" s="19" t="n">
        <v>63</v>
      </c>
      <c r="B70" s="20"/>
      <c r="C70" s="21"/>
      <c r="D70" s="21"/>
      <c r="E70" s="22"/>
      <c r="F70" s="23" t="n">
        <f aca="false">IFERROR(IF(E70="Core",2997,IF(E70="Growth",4997,IF(E70="Concierge",5997,0))),0)</f>
        <v>0</v>
      </c>
      <c r="G70" s="24" t="n">
        <f aca="false">IFERROR(Dashboard!$C$7,0.15)</f>
        <v>0.15</v>
      </c>
      <c r="H70" s="25" t="n">
        <f aca="false">IFERROR(F70*G70,0)</f>
        <v>0</v>
      </c>
      <c r="I70" s="26" t="n">
        <f aca="false">IFERROR(IF(E70="Core",497,IF(E70="Growth",597,IF(E70="Concierge",697,0))),0)</f>
        <v>0</v>
      </c>
      <c r="J70" s="27" t="n">
        <f aca="false">IFERROR(Dashboard!$C$7,0.15)</f>
        <v>0.15</v>
      </c>
      <c r="K70" s="28" t="n">
        <f aca="false">IFERROR(IF(L70="Active",I70*J70,0),0)</f>
        <v>0</v>
      </c>
      <c r="L70" s="22"/>
      <c r="M70" s="29" t="s">
        <v>22</v>
      </c>
      <c r="N70" s="29" t="s">
        <v>22</v>
      </c>
      <c r="O70" s="30"/>
    </row>
    <row r="71" customFormat="false" ht="19.5" hidden="false" customHeight="true" outlineLevel="0" collapsed="false">
      <c r="A71" s="31" t="n">
        <v>64</v>
      </c>
      <c r="B71" s="32"/>
      <c r="C71" s="33"/>
      <c r="D71" s="33"/>
      <c r="E71" s="34"/>
      <c r="F71" s="35" t="n">
        <f aca="false">IFERROR(IF(E71="Core",2997,IF(E71="Growth",4997,IF(E71="Concierge",5997,0))),0)</f>
        <v>0</v>
      </c>
      <c r="G71" s="36" t="n">
        <f aca="false">IFERROR(Dashboard!$C$7,0.15)</f>
        <v>0.15</v>
      </c>
      <c r="H71" s="37" t="n">
        <f aca="false">IFERROR(F71*G71,0)</f>
        <v>0</v>
      </c>
      <c r="I71" s="38" t="n">
        <f aca="false">IFERROR(IF(E71="Core",497,IF(E71="Growth",597,IF(E71="Concierge",697,0))),0)</f>
        <v>0</v>
      </c>
      <c r="J71" s="39" t="n">
        <f aca="false">IFERROR(Dashboard!$C$7,0.15)</f>
        <v>0.15</v>
      </c>
      <c r="K71" s="40" t="n">
        <f aca="false">IFERROR(IF(L71="Active",I71*J71,0),0)</f>
        <v>0</v>
      </c>
      <c r="L71" s="34"/>
      <c r="M71" s="41" t="s">
        <v>22</v>
      </c>
      <c r="N71" s="41" t="s">
        <v>22</v>
      </c>
      <c r="O71" s="42"/>
    </row>
    <row r="72" customFormat="false" ht="19.5" hidden="false" customHeight="true" outlineLevel="0" collapsed="false">
      <c r="A72" s="19" t="n">
        <v>65</v>
      </c>
      <c r="B72" s="20"/>
      <c r="C72" s="21"/>
      <c r="D72" s="21"/>
      <c r="E72" s="22"/>
      <c r="F72" s="23" t="n">
        <f aca="false">IFERROR(IF(E72="Core",2997,IF(E72="Growth",4997,IF(E72="Concierge",5997,0))),0)</f>
        <v>0</v>
      </c>
      <c r="G72" s="24" t="n">
        <f aca="false">IFERROR(Dashboard!$C$7,0.15)</f>
        <v>0.15</v>
      </c>
      <c r="H72" s="25" t="n">
        <f aca="false">IFERROR(F72*G72,0)</f>
        <v>0</v>
      </c>
      <c r="I72" s="26" t="n">
        <f aca="false">IFERROR(IF(E72="Core",497,IF(E72="Growth",597,IF(E72="Concierge",697,0))),0)</f>
        <v>0</v>
      </c>
      <c r="J72" s="27" t="n">
        <f aca="false">IFERROR(Dashboard!$C$7,0.15)</f>
        <v>0.15</v>
      </c>
      <c r="K72" s="28" t="n">
        <f aca="false">IFERROR(IF(L72="Active",I72*J72,0),0)</f>
        <v>0</v>
      </c>
      <c r="L72" s="22"/>
      <c r="M72" s="29" t="s">
        <v>22</v>
      </c>
      <c r="N72" s="29" t="s">
        <v>22</v>
      </c>
      <c r="O72" s="30"/>
    </row>
    <row r="73" customFormat="false" ht="19.5" hidden="false" customHeight="true" outlineLevel="0" collapsed="false">
      <c r="A73" s="31" t="n">
        <v>66</v>
      </c>
      <c r="B73" s="32"/>
      <c r="C73" s="33"/>
      <c r="D73" s="33"/>
      <c r="E73" s="34"/>
      <c r="F73" s="35" t="n">
        <f aca="false">IFERROR(IF(E73="Core",2997,IF(E73="Growth",4997,IF(E73="Concierge",5997,0))),0)</f>
        <v>0</v>
      </c>
      <c r="G73" s="36" t="n">
        <f aca="false">IFERROR(Dashboard!$C$7,0.15)</f>
        <v>0.15</v>
      </c>
      <c r="H73" s="37" t="n">
        <f aca="false">IFERROR(F73*G73,0)</f>
        <v>0</v>
      </c>
      <c r="I73" s="38" t="n">
        <f aca="false">IFERROR(IF(E73="Core",497,IF(E73="Growth",597,IF(E73="Concierge",697,0))),0)</f>
        <v>0</v>
      </c>
      <c r="J73" s="39" t="n">
        <f aca="false">IFERROR(Dashboard!$C$7,0.15)</f>
        <v>0.15</v>
      </c>
      <c r="K73" s="40" t="n">
        <f aca="false">IFERROR(IF(L73="Active",I73*J73,0),0)</f>
        <v>0</v>
      </c>
      <c r="L73" s="34"/>
      <c r="M73" s="41" t="s">
        <v>22</v>
      </c>
      <c r="N73" s="41" t="s">
        <v>22</v>
      </c>
      <c r="O73" s="42"/>
    </row>
    <row r="74" customFormat="false" ht="19.5" hidden="false" customHeight="true" outlineLevel="0" collapsed="false">
      <c r="A74" s="19" t="n">
        <v>67</v>
      </c>
      <c r="B74" s="20"/>
      <c r="C74" s="21"/>
      <c r="D74" s="21"/>
      <c r="E74" s="22"/>
      <c r="F74" s="23" t="n">
        <f aca="false">IFERROR(IF(E74="Core",2997,IF(E74="Growth",4997,IF(E74="Concierge",5997,0))),0)</f>
        <v>0</v>
      </c>
      <c r="G74" s="24" t="n">
        <f aca="false">IFERROR(Dashboard!$C$7,0.15)</f>
        <v>0.15</v>
      </c>
      <c r="H74" s="25" t="n">
        <f aca="false">IFERROR(F74*G74,0)</f>
        <v>0</v>
      </c>
      <c r="I74" s="26" t="n">
        <f aca="false">IFERROR(IF(E74="Core",497,IF(E74="Growth",597,IF(E74="Concierge",697,0))),0)</f>
        <v>0</v>
      </c>
      <c r="J74" s="27" t="n">
        <f aca="false">IFERROR(Dashboard!$C$7,0.15)</f>
        <v>0.15</v>
      </c>
      <c r="K74" s="28" t="n">
        <f aca="false">IFERROR(IF(L74="Active",I74*J74,0),0)</f>
        <v>0</v>
      </c>
      <c r="L74" s="22"/>
      <c r="M74" s="29" t="s">
        <v>22</v>
      </c>
      <c r="N74" s="29" t="s">
        <v>22</v>
      </c>
      <c r="O74" s="30"/>
    </row>
    <row r="75" customFormat="false" ht="19.5" hidden="false" customHeight="true" outlineLevel="0" collapsed="false">
      <c r="A75" s="31" t="n">
        <v>68</v>
      </c>
      <c r="B75" s="32"/>
      <c r="C75" s="33"/>
      <c r="D75" s="33"/>
      <c r="E75" s="34"/>
      <c r="F75" s="35" t="n">
        <f aca="false">IFERROR(IF(E75="Core",2997,IF(E75="Growth",4997,IF(E75="Concierge",5997,0))),0)</f>
        <v>0</v>
      </c>
      <c r="G75" s="36" t="n">
        <f aca="false">IFERROR(Dashboard!$C$7,0.15)</f>
        <v>0.15</v>
      </c>
      <c r="H75" s="37" t="n">
        <f aca="false">IFERROR(F75*G75,0)</f>
        <v>0</v>
      </c>
      <c r="I75" s="38" t="n">
        <f aca="false">IFERROR(IF(E75="Core",497,IF(E75="Growth",597,IF(E75="Concierge",697,0))),0)</f>
        <v>0</v>
      </c>
      <c r="J75" s="39" t="n">
        <f aca="false">IFERROR(Dashboard!$C$7,0.15)</f>
        <v>0.15</v>
      </c>
      <c r="K75" s="40" t="n">
        <f aca="false">IFERROR(IF(L75="Active",I75*J75,0),0)</f>
        <v>0</v>
      </c>
      <c r="L75" s="34"/>
      <c r="M75" s="41" t="s">
        <v>22</v>
      </c>
      <c r="N75" s="41" t="s">
        <v>22</v>
      </c>
      <c r="O75" s="42"/>
    </row>
    <row r="76" customFormat="false" ht="19.5" hidden="false" customHeight="true" outlineLevel="0" collapsed="false">
      <c r="A76" s="19" t="n">
        <v>69</v>
      </c>
      <c r="B76" s="20"/>
      <c r="C76" s="21"/>
      <c r="D76" s="21"/>
      <c r="E76" s="22"/>
      <c r="F76" s="23" t="n">
        <f aca="false">IFERROR(IF(E76="Core",2997,IF(E76="Growth",4997,IF(E76="Concierge",5997,0))),0)</f>
        <v>0</v>
      </c>
      <c r="G76" s="24" t="n">
        <f aca="false">IFERROR(Dashboard!$C$7,0.15)</f>
        <v>0.15</v>
      </c>
      <c r="H76" s="25" t="n">
        <f aca="false">IFERROR(F76*G76,0)</f>
        <v>0</v>
      </c>
      <c r="I76" s="26" t="n">
        <f aca="false">IFERROR(IF(E76="Core",497,IF(E76="Growth",597,IF(E76="Concierge",697,0))),0)</f>
        <v>0</v>
      </c>
      <c r="J76" s="27" t="n">
        <f aca="false">IFERROR(Dashboard!$C$7,0.15)</f>
        <v>0.15</v>
      </c>
      <c r="K76" s="28" t="n">
        <f aca="false">IFERROR(IF(L76="Active",I76*J76,0),0)</f>
        <v>0</v>
      </c>
      <c r="L76" s="22"/>
      <c r="M76" s="29" t="s">
        <v>22</v>
      </c>
      <c r="N76" s="29" t="s">
        <v>22</v>
      </c>
      <c r="O76" s="30"/>
    </row>
    <row r="77" customFormat="false" ht="19.5" hidden="false" customHeight="true" outlineLevel="0" collapsed="false">
      <c r="A77" s="31" t="n">
        <v>70</v>
      </c>
      <c r="B77" s="32"/>
      <c r="C77" s="33"/>
      <c r="D77" s="33"/>
      <c r="E77" s="34"/>
      <c r="F77" s="35" t="n">
        <f aca="false">IFERROR(IF(E77="Core",2997,IF(E77="Growth",4997,IF(E77="Concierge",5997,0))),0)</f>
        <v>0</v>
      </c>
      <c r="G77" s="36" t="n">
        <f aca="false">IFERROR(Dashboard!$C$7,0.15)</f>
        <v>0.15</v>
      </c>
      <c r="H77" s="37" t="n">
        <f aca="false">IFERROR(F77*G77,0)</f>
        <v>0</v>
      </c>
      <c r="I77" s="38" t="n">
        <f aca="false">IFERROR(IF(E77="Core",497,IF(E77="Growth",597,IF(E77="Concierge",697,0))),0)</f>
        <v>0</v>
      </c>
      <c r="J77" s="39" t="n">
        <f aca="false">IFERROR(Dashboard!$C$7,0.15)</f>
        <v>0.15</v>
      </c>
      <c r="K77" s="40" t="n">
        <f aca="false">IFERROR(IF(L77="Active",I77*J77,0),0)</f>
        <v>0</v>
      </c>
      <c r="L77" s="34"/>
      <c r="M77" s="41" t="s">
        <v>22</v>
      </c>
      <c r="N77" s="41" t="s">
        <v>22</v>
      </c>
      <c r="O77" s="42"/>
    </row>
    <row r="78" customFormat="false" ht="19.5" hidden="false" customHeight="true" outlineLevel="0" collapsed="false">
      <c r="A78" s="19" t="n">
        <v>71</v>
      </c>
      <c r="B78" s="20"/>
      <c r="C78" s="21"/>
      <c r="D78" s="21"/>
      <c r="E78" s="22"/>
      <c r="F78" s="23" t="n">
        <f aca="false">IFERROR(IF(E78="Core",2997,IF(E78="Growth",4997,IF(E78="Concierge",5997,0))),0)</f>
        <v>0</v>
      </c>
      <c r="G78" s="24" t="n">
        <f aca="false">IFERROR(Dashboard!$C$7,0.15)</f>
        <v>0.15</v>
      </c>
      <c r="H78" s="25" t="n">
        <f aca="false">IFERROR(F78*G78,0)</f>
        <v>0</v>
      </c>
      <c r="I78" s="26" t="n">
        <f aca="false">IFERROR(IF(E78="Core",497,IF(E78="Growth",597,IF(E78="Concierge",697,0))),0)</f>
        <v>0</v>
      </c>
      <c r="J78" s="27" t="n">
        <f aca="false">IFERROR(Dashboard!$C$7,0.15)</f>
        <v>0.15</v>
      </c>
      <c r="K78" s="28" t="n">
        <f aca="false">IFERROR(IF(L78="Active",I78*J78,0),0)</f>
        <v>0</v>
      </c>
      <c r="L78" s="22"/>
      <c r="M78" s="29" t="s">
        <v>22</v>
      </c>
      <c r="N78" s="29" t="s">
        <v>22</v>
      </c>
      <c r="O78" s="30"/>
    </row>
    <row r="79" customFormat="false" ht="19.5" hidden="false" customHeight="true" outlineLevel="0" collapsed="false">
      <c r="A79" s="31" t="n">
        <v>72</v>
      </c>
      <c r="B79" s="32"/>
      <c r="C79" s="33"/>
      <c r="D79" s="33"/>
      <c r="E79" s="34"/>
      <c r="F79" s="35" t="n">
        <f aca="false">IFERROR(IF(E79="Core",2997,IF(E79="Growth",4997,IF(E79="Concierge",5997,0))),0)</f>
        <v>0</v>
      </c>
      <c r="G79" s="36" t="n">
        <f aca="false">IFERROR(Dashboard!$C$7,0.15)</f>
        <v>0.15</v>
      </c>
      <c r="H79" s="37" t="n">
        <f aca="false">IFERROR(F79*G79,0)</f>
        <v>0</v>
      </c>
      <c r="I79" s="38" t="n">
        <f aca="false">IFERROR(IF(E79="Core",497,IF(E79="Growth",597,IF(E79="Concierge",697,0))),0)</f>
        <v>0</v>
      </c>
      <c r="J79" s="39" t="n">
        <f aca="false">IFERROR(Dashboard!$C$7,0.15)</f>
        <v>0.15</v>
      </c>
      <c r="K79" s="40" t="n">
        <f aca="false">IFERROR(IF(L79="Active",I79*J79,0),0)</f>
        <v>0</v>
      </c>
      <c r="L79" s="34"/>
      <c r="M79" s="41" t="s">
        <v>22</v>
      </c>
      <c r="N79" s="41" t="s">
        <v>22</v>
      </c>
      <c r="O79" s="42"/>
    </row>
    <row r="80" customFormat="false" ht="19.5" hidden="false" customHeight="true" outlineLevel="0" collapsed="false">
      <c r="A80" s="19" t="n">
        <v>73</v>
      </c>
      <c r="B80" s="20"/>
      <c r="C80" s="21"/>
      <c r="D80" s="21"/>
      <c r="E80" s="22"/>
      <c r="F80" s="23" t="n">
        <f aca="false">IFERROR(IF(E80="Core",2997,IF(E80="Growth",4997,IF(E80="Concierge",5997,0))),0)</f>
        <v>0</v>
      </c>
      <c r="G80" s="24" t="n">
        <f aca="false">IFERROR(Dashboard!$C$7,0.15)</f>
        <v>0.15</v>
      </c>
      <c r="H80" s="25" t="n">
        <f aca="false">IFERROR(F80*G80,0)</f>
        <v>0</v>
      </c>
      <c r="I80" s="26" t="n">
        <f aca="false">IFERROR(IF(E80="Core",497,IF(E80="Growth",597,IF(E80="Concierge",697,0))),0)</f>
        <v>0</v>
      </c>
      <c r="J80" s="27" t="n">
        <f aca="false">IFERROR(Dashboard!$C$7,0.15)</f>
        <v>0.15</v>
      </c>
      <c r="K80" s="28" t="n">
        <f aca="false">IFERROR(IF(L80="Active",I80*J80,0),0)</f>
        <v>0</v>
      </c>
      <c r="L80" s="22"/>
      <c r="M80" s="29" t="s">
        <v>22</v>
      </c>
      <c r="N80" s="29" t="s">
        <v>22</v>
      </c>
      <c r="O80" s="30"/>
    </row>
    <row r="81" customFormat="false" ht="19.5" hidden="false" customHeight="true" outlineLevel="0" collapsed="false">
      <c r="A81" s="31" t="n">
        <v>74</v>
      </c>
      <c r="B81" s="32"/>
      <c r="C81" s="33"/>
      <c r="D81" s="33"/>
      <c r="E81" s="34"/>
      <c r="F81" s="35" t="n">
        <f aca="false">IFERROR(IF(E81="Core",2997,IF(E81="Growth",4997,IF(E81="Concierge",5997,0))),0)</f>
        <v>0</v>
      </c>
      <c r="G81" s="36" t="n">
        <f aca="false">IFERROR(Dashboard!$C$7,0.15)</f>
        <v>0.15</v>
      </c>
      <c r="H81" s="37" t="n">
        <f aca="false">IFERROR(F81*G81,0)</f>
        <v>0</v>
      </c>
      <c r="I81" s="38" t="n">
        <f aca="false">IFERROR(IF(E81="Core",497,IF(E81="Growth",597,IF(E81="Concierge",697,0))),0)</f>
        <v>0</v>
      </c>
      <c r="J81" s="39" t="n">
        <f aca="false">IFERROR(Dashboard!$C$7,0.15)</f>
        <v>0.15</v>
      </c>
      <c r="K81" s="40" t="n">
        <f aca="false">IFERROR(IF(L81="Active",I81*J81,0),0)</f>
        <v>0</v>
      </c>
      <c r="L81" s="34"/>
      <c r="M81" s="41" t="s">
        <v>22</v>
      </c>
      <c r="N81" s="41" t="s">
        <v>22</v>
      </c>
      <c r="O81" s="42"/>
    </row>
    <row r="82" customFormat="false" ht="19.5" hidden="false" customHeight="true" outlineLevel="0" collapsed="false">
      <c r="A82" s="19" t="n">
        <v>75</v>
      </c>
      <c r="B82" s="20"/>
      <c r="C82" s="21"/>
      <c r="D82" s="21"/>
      <c r="E82" s="22"/>
      <c r="F82" s="23" t="n">
        <f aca="false">IFERROR(IF(E82="Core",2997,IF(E82="Growth",4997,IF(E82="Concierge",5997,0))),0)</f>
        <v>0</v>
      </c>
      <c r="G82" s="24" t="n">
        <f aca="false">IFERROR(Dashboard!$C$7,0.15)</f>
        <v>0.15</v>
      </c>
      <c r="H82" s="25" t="n">
        <f aca="false">IFERROR(F82*G82,0)</f>
        <v>0</v>
      </c>
      <c r="I82" s="26" t="n">
        <f aca="false">IFERROR(IF(E82="Core",497,IF(E82="Growth",597,IF(E82="Concierge",697,0))),0)</f>
        <v>0</v>
      </c>
      <c r="J82" s="27" t="n">
        <f aca="false">IFERROR(Dashboard!$C$7,0.15)</f>
        <v>0.15</v>
      </c>
      <c r="K82" s="28" t="n">
        <f aca="false">IFERROR(IF(L82="Active",I82*J82,0),0)</f>
        <v>0</v>
      </c>
      <c r="L82" s="22"/>
      <c r="M82" s="29" t="s">
        <v>22</v>
      </c>
      <c r="N82" s="29" t="s">
        <v>22</v>
      </c>
      <c r="O82" s="30"/>
    </row>
    <row r="83" customFormat="false" ht="7.5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customFormat="false" ht="25.5" hidden="false" customHeight="true" outlineLevel="0" collapsed="false">
      <c r="A84" s="43"/>
      <c r="B84" s="44" t="s">
        <v>23</v>
      </c>
      <c r="C84" s="43"/>
      <c r="D84" s="43"/>
      <c r="E84" s="45" t="n">
        <f aca="false">COUNTA(E8:E82)</f>
        <v>0</v>
      </c>
      <c r="F84" s="43"/>
      <c r="G84" s="43"/>
      <c r="H84" s="46" t="n">
        <f aca="false">SUM(H8:H82)</f>
        <v>0</v>
      </c>
      <c r="I84" s="43"/>
      <c r="J84" s="43"/>
      <c r="K84" s="47" t="n">
        <f aca="false">SUMIF(L8:L82,"Active",K8:K82)</f>
        <v>0</v>
      </c>
      <c r="L84" s="48" t="n">
        <f aca="false">COUNTIF(L8:L82,"Active")</f>
        <v>0</v>
      </c>
      <c r="M84" s="43"/>
      <c r="N84" s="43"/>
      <c r="O84" s="43"/>
    </row>
  </sheetData>
  <mergeCells count="6">
    <mergeCell ref="D2:O2"/>
    <mergeCell ref="B4:O4"/>
    <mergeCell ref="B6:C6"/>
    <mergeCell ref="D6:E6"/>
    <mergeCell ref="F6:G6"/>
    <mergeCell ref="I6:J6"/>
  </mergeCells>
  <conditionalFormatting sqref="A8:A82">
    <cfRule type="expression" priority="2" aboveAverage="0" equalAverage="0" bottom="0" percent="0" rank="0" text="" dxfId="0">
      <formula>$L8="Active"</formula>
    </cfRule>
    <cfRule type="expression" priority="3" aboveAverage="0" equalAverage="0" bottom="0" percent="0" rank="0" text="" dxfId="1">
      <formula>$L8="Churned"</formula>
    </cfRule>
  </conditionalFormatting>
  <conditionalFormatting sqref="B8:B82">
    <cfRule type="expression" priority="4" aboveAverage="0" equalAverage="0" bottom="0" percent="0" rank="0" text="" dxfId="0">
      <formula>$L8="Active"</formula>
    </cfRule>
    <cfRule type="expression" priority="5" aboveAverage="0" equalAverage="0" bottom="0" percent="0" rank="0" text="" dxfId="1">
      <formula>$L8="Churned"</formula>
    </cfRule>
  </conditionalFormatting>
  <conditionalFormatting sqref="C8:C82">
    <cfRule type="expression" priority="6" aboveAverage="0" equalAverage="0" bottom="0" percent="0" rank="0" text="" dxfId="0">
      <formula>$L8="Active"</formula>
    </cfRule>
    <cfRule type="expression" priority="7" aboveAverage="0" equalAverage="0" bottom="0" percent="0" rank="0" text="" dxfId="1">
      <formula>$L8="Churned"</formula>
    </cfRule>
  </conditionalFormatting>
  <conditionalFormatting sqref="D8:D82">
    <cfRule type="expression" priority="8" aboveAverage="0" equalAverage="0" bottom="0" percent="0" rank="0" text="" dxfId="0">
      <formula>$L8="Active"</formula>
    </cfRule>
    <cfRule type="expression" priority="9" aboveAverage="0" equalAverage="0" bottom="0" percent="0" rank="0" text="" dxfId="1">
      <formula>$L8="Churned"</formula>
    </cfRule>
  </conditionalFormatting>
  <conditionalFormatting sqref="E8:E82">
    <cfRule type="expression" priority="10" aboveAverage="0" equalAverage="0" bottom="0" percent="0" rank="0" text="" dxfId="0">
      <formula>$L8="Active"</formula>
    </cfRule>
    <cfRule type="expression" priority="11" aboveAverage="0" equalAverage="0" bottom="0" percent="0" rank="0" text="" dxfId="1">
      <formula>$L8="Churned"</formula>
    </cfRule>
  </conditionalFormatting>
  <conditionalFormatting sqref="F8:F82">
    <cfRule type="expression" priority="12" aboveAverage="0" equalAverage="0" bottom="0" percent="0" rank="0" text="" dxfId="0">
      <formula>$L8="Active"</formula>
    </cfRule>
    <cfRule type="expression" priority="13" aboveAverage="0" equalAverage="0" bottom="0" percent="0" rank="0" text="" dxfId="1">
      <formula>$L8="Churned"</formula>
    </cfRule>
  </conditionalFormatting>
  <conditionalFormatting sqref="G8:G82">
    <cfRule type="expression" priority="14" aboveAverage="0" equalAverage="0" bottom="0" percent="0" rank="0" text="" dxfId="0">
      <formula>$L8="Active"</formula>
    </cfRule>
    <cfRule type="expression" priority="15" aboveAverage="0" equalAverage="0" bottom="0" percent="0" rank="0" text="" dxfId="1">
      <formula>$L8="Churned"</formula>
    </cfRule>
  </conditionalFormatting>
  <conditionalFormatting sqref="H8:H82">
    <cfRule type="expression" priority="16" aboveAverage="0" equalAverage="0" bottom="0" percent="0" rank="0" text="" dxfId="0">
      <formula>$L8="Active"</formula>
    </cfRule>
    <cfRule type="expression" priority="17" aboveAverage="0" equalAverage="0" bottom="0" percent="0" rank="0" text="" dxfId="1">
      <formula>$L8="Churned"</formula>
    </cfRule>
  </conditionalFormatting>
  <conditionalFormatting sqref="I8:I82">
    <cfRule type="expression" priority="18" aboveAverage="0" equalAverage="0" bottom="0" percent="0" rank="0" text="" dxfId="0">
      <formula>$L8="Active"</formula>
    </cfRule>
    <cfRule type="expression" priority="19" aboveAverage="0" equalAverage="0" bottom="0" percent="0" rank="0" text="" dxfId="1">
      <formula>$L8="Churned"</formula>
    </cfRule>
  </conditionalFormatting>
  <conditionalFormatting sqref="J8:J82">
    <cfRule type="expression" priority="20" aboveAverage="0" equalAverage="0" bottom="0" percent="0" rank="0" text="" dxfId="0">
      <formula>$L8="Active"</formula>
    </cfRule>
    <cfRule type="expression" priority="21" aboveAverage="0" equalAverage="0" bottom="0" percent="0" rank="0" text="" dxfId="1">
      <formula>$L8="Churned"</formula>
    </cfRule>
  </conditionalFormatting>
  <conditionalFormatting sqref="K8:K82">
    <cfRule type="expression" priority="22" aboveAverage="0" equalAverage="0" bottom="0" percent="0" rank="0" text="" dxfId="0">
      <formula>$L8="Active"</formula>
    </cfRule>
    <cfRule type="expression" priority="23" aboveAverage="0" equalAverage="0" bottom="0" percent="0" rank="0" text="" dxfId="1">
      <formula>$L8="Churned"</formula>
    </cfRule>
  </conditionalFormatting>
  <conditionalFormatting sqref="L8:L82">
    <cfRule type="expression" priority="24" aboveAverage="0" equalAverage="0" bottom="0" percent="0" rank="0" text="" dxfId="0">
      <formula>$L8="Active"</formula>
    </cfRule>
    <cfRule type="expression" priority="25" aboveAverage="0" equalAverage="0" bottom="0" percent="0" rank="0" text="" dxfId="1">
      <formula>$L8="Churned"</formula>
    </cfRule>
  </conditionalFormatting>
  <conditionalFormatting sqref="M8:M82">
    <cfRule type="expression" priority="26" aboveAverage="0" equalAverage="0" bottom="0" percent="0" rank="0" text="" dxfId="0">
      <formula>$L8="Active"</formula>
    </cfRule>
    <cfRule type="expression" priority="27" aboveAverage="0" equalAverage="0" bottom="0" percent="0" rank="0" text="" dxfId="1">
      <formula>$L8="Churned"</formula>
    </cfRule>
  </conditionalFormatting>
  <conditionalFormatting sqref="N8:N82">
    <cfRule type="expression" priority="28" aboveAverage="0" equalAverage="0" bottom="0" percent="0" rank="0" text="" dxfId="0">
      <formula>$L8="Active"</formula>
    </cfRule>
    <cfRule type="expression" priority="29" aboveAverage="0" equalAverage="0" bottom="0" percent="0" rank="0" text="" dxfId="1">
      <formula>$L8="Churned"</formula>
    </cfRule>
  </conditionalFormatting>
  <conditionalFormatting sqref="O8:O82">
    <cfRule type="expression" priority="30" aboveAverage="0" equalAverage="0" bottom="0" percent="0" rank="0" text="" dxfId="0">
      <formula>$L8="Active"</formula>
    </cfRule>
    <cfRule type="expression" priority="31" aboveAverage="0" equalAverage="0" bottom="0" percent="0" rank="0" text="" dxfId="1">
      <formula>$L8="Churned"</formula>
    </cfRule>
  </conditionalFormatting>
  <dataValidations count="4">
    <dataValidation allowBlank="true" errorStyle="stop" operator="between" showDropDown="false" showErrorMessage="false" showInputMessage="false" sqref="E8:E82" type="list">
      <formula1>"Core,Growth,Concierge"</formula1>
      <formula2>0</formula2>
    </dataValidation>
    <dataValidation allowBlank="true" errorStyle="stop" operator="between" showDropDown="false" showErrorMessage="false" showInputMessage="false" sqref="L8:L82" type="list">
      <formula1>"Active,Churned,On Hold"</formula1>
      <formula2>0</formula2>
    </dataValidation>
    <dataValidation allowBlank="true" errorStyle="stop" operator="between" showDropDown="false" showErrorMessage="false" showInputMessage="false" sqref="M8:M82" type="list">
      <formula1>"Yes,No,Pending"</formula1>
      <formula2>0</formula2>
    </dataValidation>
    <dataValidation allowBlank="true" errorStyle="stop" operator="between" showDropDown="false" showErrorMessage="false" showInputMessage="false" sqref="N8:N82" type="list">
      <formula1>"Yes,No,Pending"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0B429"/>
    <pageSetUpPr fitToPage="false"/>
  </sheetPr>
  <dimension ref="A1:G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3" min="3" style="0" width="18"/>
    <col collapsed="false" customWidth="true" hidden="false" outlineLevel="0" max="4" min="4" style="0" width="3"/>
    <col collapsed="false" customWidth="true" hidden="false" outlineLevel="0" max="5" min="5" style="0" width="26"/>
    <col collapsed="false" customWidth="true" hidden="false" outlineLevel="0" max="6" min="6" style="0" width="18"/>
    <col collapsed="false" customWidth="true" hidden="false" outlineLevel="0" max="7" min="7" style="0" width="3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</row>
    <row r="2" customFormat="false" ht="43.5" hidden="false" customHeight="true" outlineLevel="0" collapsed="false">
      <c r="A2" s="1"/>
      <c r="B2" s="2" t="s">
        <v>0</v>
      </c>
      <c r="C2" s="3" t="s">
        <v>1</v>
      </c>
      <c r="D2" s="49" t="s">
        <v>24</v>
      </c>
      <c r="E2" s="49"/>
      <c r="F2" s="49"/>
      <c r="G2" s="49"/>
    </row>
    <row r="3" customFormat="false" ht="6" hidden="false" customHeight="true" outlineLevel="0" collapsed="false">
      <c r="A3" s="1"/>
      <c r="B3" s="1"/>
      <c r="C3" s="1"/>
      <c r="D3" s="1"/>
      <c r="E3" s="1"/>
      <c r="F3" s="1"/>
      <c r="G3" s="1"/>
    </row>
    <row r="4" customFormat="false" ht="21.75" hidden="false" customHeight="true" outlineLevel="0" collapsed="false">
      <c r="A4" s="5"/>
      <c r="B4" s="6" t="s">
        <v>25</v>
      </c>
      <c r="C4" s="6"/>
      <c r="D4" s="6"/>
      <c r="E4" s="6"/>
      <c r="F4" s="6"/>
      <c r="G4" s="6"/>
    </row>
    <row r="5" customFormat="false" ht="6" hidden="false" customHeight="true" outlineLevel="0" collapsed="false">
      <c r="A5" s="5"/>
      <c r="B5" s="5"/>
      <c r="C5" s="5"/>
      <c r="D5" s="5"/>
      <c r="E5" s="5"/>
      <c r="F5" s="5"/>
      <c r="G5" s="5"/>
    </row>
    <row r="6" customFormat="false" ht="4.5" hidden="false" customHeight="true" outlineLevel="0" collapsed="false">
      <c r="A6" s="1"/>
      <c r="B6" s="1"/>
      <c r="C6" s="50" t="str">
        <f aca="false">IF(COUNTA('Deals Log'!E8:E82)&gt;=10,"Elite",IF(COUNTA('Deals Log'!E8:E82)&gt;=6,"Performer",IF(COUNTA('Deals Log'!E8:E82)&gt;=3,"Active","Starter")))</f>
        <v>Starter</v>
      </c>
      <c r="D6" s="1"/>
      <c r="E6" s="1"/>
      <c r="F6" s="1"/>
      <c r="G6" s="1"/>
    </row>
    <row r="7" customFormat="false" ht="15" hidden="false" customHeight="false" outlineLevel="0" collapsed="false">
      <c r="C7" s="51" t="n">
        <f aca="false">IF(C6="Elite",0.3,IF(C6="Performer",0.25,IF(C6="Active",0.2,0.15)))</f>
        <v>0.15</v>
      </c>
    </row>
    <row r="8" customFormat="false" ht="7.5" hidden="false" customHeight="true" outlineLevel="0" collapsed="false">
      <c r="A8" s="1"/>
      <c r="B8" s="1"/>
      <c r="C8" s="1"/>
      <c r="D8" s="1"/>
      <c r="E8" s="1"/>
      <c r="F8" s="1"/>
      <c r="G8" s="1"/>
    </row>
    <row r="9" customFormat="false" ht="24" hidden="false" customHeight="true" outlineLevel="0" collapsed="false">
      <c r="A9" s="7"/>
      <c r="B9" s="52" t="s">
        <v>26</v>
      </c>
      <c r="C9" s="52"/>
      <c r="D9" s="52"/>
      <c r="E9" s="52"/>
      <c r="F9" s="52"/>
      <c r="G9" s="7"/>
    </row>
    <row r="10" customFormat="false" ht="18" hidden="false" customHeight="true" outlineLevel="0" collapsed="false">
      <c r="B10" s="53" t="s">
        <v>27</v>
      </c>
      <c r="C10" s="53"/>
      <c r="E10" s="54" t="s">
        <v>28</v>
      </c>
      <c r="F10" s="54"/>
    </row>
    <row r="11" customFormat="false" ht="36" hidden="false" customHeight="true" outlineLevel="0" collapsed="false">
      <c r="B11" s="55" t="n">
        <f aca="false">SUM('Deals Log'!H8:H82)</f>
        <v>0</v>
      </c>
      <c r="C11" s="55"/>
      <c r="E11" s="56" t="n">
        <f aca="false">SUMIF('Deals Log'!L8:L82,"Active",'Deals Log'!K8:K82)</f>
        <v>0</v>
      </c>
      <c r="F11" s="56"/>
    </row>
    <row r="12" customFormat="false" ht="18" hidden="false" customHeight="true" outlineLevel="0" collapsed="false">
      <c r="B12" s="57" t="str">
        <f aca="false">COUNTA('Deals Log'!E8:E82)&amp;" deals closed"</f>
        <v>0 deals closed</v>
      </c>
      <c r="C12" s="57"/>
      <c r="E12" s="58" t="str">
        <f aca="false">COUNTIF('Deals Log'!L8:L82,"Active")&amp;" active clients"</f>
        <v>0 active clients</v>
      </c>
      <c r="F12" s="58"/>
    </row>
    <row r="13" customFormat="false" ht="6" hidden="false" customHeight="true" outlineLevel="0" collapsed="false">
      <c r="B13" s="1"/>
      <c r="C13" s="1"/>
      <c r="E13" s="1"/>
      <c r="F13" s="1"/>
    </row>
    <row r="14" customFormat="false" ht="7.5" hidden="false" customHeight="true" outlineLevel="0" collapsed="false">
      <c r="A14" s="1"/>
      <c r="B14" s="1"/>
      <c r="C14" s="1"/>
      <c r="D14" s="1"/>
      <c r="E14" s="1"/>
      <c r="F14" s="1"/>
      <c r="G14" s="1"/>
    </row>
    <row r="15" customFormat="false" ht="13.5" hidden="false" customHeight="true" outlineLevel="0" collapsed="false">
      <c r="A15" s="43"/>
      <c r="B15" s="54" t="s">
        <v>29</v>
      </c>
      <c r="C15" s="54"/>
      <c r="D15" s="54"/>
      <c r="E15" s="54"/>
      <c r="F15" s="54"/>
      <c r="G15" s="43"/>
    </row>
    <row r="16" customFormat="false" ht="39.75" hidden="false" customHeight="true" outlineLevel="0" collapsed="false">
      <c r="A16" s="43"/>
      <c r="B16" s="59" t="n">
        <f aca="false">SUMIF('Deals Log'!L8:L82,"Active",'Deals Log'!K8:K82)*12+SUM('Deals Log'!H8:H82)</f>
        <v>0</v>
      </c>
      <c r="C16" s="59"/>
      <c r="D16" s="59"/>
      <c r="E16" s="59"/>
      <c r="F16" s="59"/>
      <c r="G16" s="43"/>
    </row>
    <row r="17" customFormat="false" ht="13.5" hidden="false" customHeight="true" outlineLevel="0" collapsed="false">
      <c r="A17" s="43"/>
      <c r="B17" s="60" t="s">
        <v>30</v>
      </c>
      <c r="C17" s="60"/>
      <c r="D17" s="60"/>
      <c r="E17" s="60"/>
      <c r="F17" s="60"/>
      <c r="G17" s="43"/>
    </row>
    <row r="18" customFormat="false" ht="6" hidden="false" customHeight="true" outlineLevel="0" collapsed="false">
      <c r="A18" s="43"/>
      <c r="B18" s="43"/>
      <c r="C18" s="43"/>
      <c r="D18" s="43"/>
      <c r="E18" s="43"/>
      <c r="F18" s="43"/>
      <c r="G18" s="43"/>
    </row>
    <row r="19" customFormat="false" ht="9.75" hidden="false" customHeight="true" outlineLevel="0" collapsed="false">
      <c r="A19" s="1"/>
      <c r="B19" s="1"/>
      <c r="C19" s="1"/>
      <c r="D19" s="1"/>
      <c r="E19" s="1"/>
      <c r="F19" s="1"/>
      <c r="G19" s="1"/>
    </row>
    <row r="20" customFormat="false" ht="24" hidden="false" customHeight="true" outlineLevel="0" collapsed="false">
      <c r="A20" s="7"/>
      <c r="B20" s="61" t="s">
        <v>31</v>
      </c>
      <c r="C20" s="61"/>
      <c r="D20" s="61"/>
      <c r="E20" s="61"/>
      <c r="F20" s="61"/>
      <c r="G20" s="7"/>
    </row>
    <row r="21" customFormat="false" ht="19.5" hidden="false" customHeight="true" outlineLevel="0" collapsed="false">
      <c r="A21" s="62"/>
      <c r="B21" s="63" t="s">
        <v>32</v>
      </c>
      <c r="C21" s="64" t="s">
        <v>33</v>
      </c>
      <c r="D21" s="64" t="s">
        <v>34</v>
      </c>
      <c r="E21" s="65" t="s">
        <v>35</v>
      </c>
      <c r="F21" s="65" t="s">
        <v>36</v>
      </c>
      <c r="G21" s="64" t="s">
        <v>37</v>
      </c>
    </row>
    <row r="22" customFormat="false" ht="24" hidden="false" customHeight="true" outlineLevel="0" collapsed="false">
      <c r="A22" s="21"/>
      <c r="B22" s="66" t="s">
        <v>38</v>
      </c>
      <c r="C22" s="67" t="s">
        <v>39</v>
      </c>
      <c r="D22" s="68" t="n">
        <v>0.15</v>
      </c>
      <c r="E22" s="69" t="n">
        <f aca="false">IFERROR(COUNTIF('Deals Log'!L8:L82,"Active")*0.15*AVERAGE('Deals Log'!I8:I82),0)</f>
        <v>0</v>
      </c>
      <c r="F22" s="28" t="n">
        <f aca="false">E22*12</f>
        <v>0</v>
      </c>
      <c r="G22" s="70" t="str">
        <f aca="false">IF(C6="Starter","✅ YOUR TIER","—")</f>
        <v>✅ YOUR TIER</v>
      </c>
    </row>
    <row r="23" customFormat="false" ht="24" hidden="false" customHeight="true" outlineLevel="0" collapsed="false">
      <c r="A23" s="33"/>
      <c r="B23" s="71" t="s">
        <v>40</v>
      </c>
      <c r="C23" s="72" t="s">
        <v>41</v>
      </c>
      <c r="D23" s="73" t="n">
        <v>0.2</v>
      </c>
      <c r="E23" s="74" t="n">
        <f aca="false">IFERROR(COUNTIF('Deals Log'!L8:L82,"Active")*0.2*AVERAGE('Deals Log'!I8:I82),0)</f>
        <v>0</v>
      </c>
      <c r="F23" s="40" t="n">
        <f aca="false">E23*12</f>
        <v>0</v>
      </c>
      <c r="G23" s="75" t="str">
        <f aca="false">IF(C6="Active","✅ YOUR TIER","—")</f>
        <v>—</v>
      </c>
    </row>
    <row r="24" customFormat="false" ht="24" hidden="false" customHeight="true" outlineLevel="0" collapsed="false">
      <c r="A24" s="21"/>
      <c r="B24" s="76" t="s">
        <v>42</v>
      </c>
      <c r="C24" s="67" t="s">
        <v>43</v>
      </c>
      <c r="D24" s="77" t="n">
        <v>0.25</v>
      </c>
      <c r="E24" s="69" t="n">
        <f aca="false">IFERROR(COUNTIF('Deals Log'!L8:L82,"Active")*0.25*AVERAGE('Deals Log'!I8:I82),0)</f>
        <v>0</v>
      </c>
      <c r="F24" s="28" t="n">
        <f aca="false">E24*12</f>
        <v>0</v>
      </c>
      <c r="G24" s="78" t="str">
        <f aca="false">IF(C6="Performer","✅ YOUR TIER","—")</f>
        <v>—</v>
      </c>
    </row>
    <row r="25" customFormat="false" ht="24" hidden="false" customHeight="true" outlineLevel="0" collapsed="false">
      <c r="A25" s="33"/>
      <c r="B25" s="79" t="s">
        <v>44</v>
      </c>
      <c r="C25" s="72" t="s">
        <v>45</v>
      </c>
      <c r="D25" s="80" t="n">
        <v>0.3</v>
      </c>
      <c r="E25" s="74" t="n">
        <f aca="false">IFERROR(COUNTIF('Deals Log'!L8:L82,"Active")*0.3*AVERAGE('Deals Log'!I8:I82),0)</f>
        <v>0</v>
      </c>
      <c r="F25" s="40" t="n">
        <f aca="false">E25*12</f>
        <v>0</v>
      </c>
      <c r="G25" s="81" t="str">
        <f aca="false">IF(C6="Elite","✅ YOUR TIER","—")</f>
        <v>—</v>
      </c>
    </row>
    <row r="26" customFormat="false" ht="9.75" hidden="false" customHeight="true" outlineLevel="0" collapsed="false">
      <c r="A26" s="1"/>
      <c r="B26" s="1"/>
      <c r="C26" s="1"/>
      <c r="D26" s="1"/>
      <c r="E26" s="1"/>
      <c r="F26" s="1"/>
      <c r="G26" s="1"/>
    </row>
    <row r="27" customFormat="false" ht="24" hidden="false" customHeight="true" outlineLevel="0" collapsed="false">
      <c r="A27" s="7"/>
      <c r="B27" s="82" t="s">
        <v>46</v>
      </c>
      <c r="C27" s="82"/>
      <c r="D27" s="82"/>
      <c r="E27" s="82"/>
      <c r="F27" s="82"/>
      <c r="G27" s="7"/>
    </row>
    <row r="28" customFormat="false" ht="19.5" hidden="false" customHeight="true" outlineLevel="0" collapsed="false">
      <c r="A28" s="62"/>
      <c r="B28" s="83" t="s">
        <v>47</v>
      </c>
      <c r="C28" s="64" t="s">
        <v>48</v>
      </c>
      <c r="D28" s="84" t="s">
        <v>49</v>
      </c>
      <c r="E28" s="64" t="s">
        <v>50</v>
      </c>
      <c r="F28" s="65" t="s">
        <v>51</v>
      </c>
      <c r="G28" s="85"/>
    </row>
    <row r="29" customFormat="false" ht="21.75" hidden="false" customHeight="true" outlineLevel="0" collapsed="false">
      <c r="A29" s="33"/>
      <c r="B29" s="86" t="s">
        <v>52</v>
      </c>
      <c r="C29" s="87" t="s">
        <v>53</v>
      </c>
      <c r="D29" s="88" t="s">
        <v>54</v>
      </c>
      <c r="E29" s="89" t="n">
        <f aca="false">COUNTIF('Deals Log'!M8:M82,"Yes")</f>
        <v>0</v>
      </c>
      <c r="F29" s="40" t="n">
        <f aca="false">E29*100</f>
        <v>0</v>
      </c>
    </row>
    <row r="30" customFormat="false" ht="21.75" hidden="false" customHeight="true" outlineLevel="0" collapsed="false">
      <c r="A30" s="21"/>
      <c r="B30" s="90" t="s">
        <v>55</v>
      </c>
      <c r="C30" s="91" t="s">
        <v>56</v>
      </c>
      <c r="D30" s="92" t="s">
        <v>57</v>
      </c>
      <c r="E30" s="93" t="n">
        <f aca="false">COUNTIF('Deals Log'!N8:N82,"Yes")</f>
        <v>0</v>
      </c>
      <c r="F30" s="28" t="n">
        <f aca="false">E30*150</f>
        <v>0</v>
      </c>
    </row>
    <row r="31" customFormat="false" ht="6" hidden="false" customHeight="true" outlineLevel="0" collapsed="false">
      <c r="A31" s="1"/>
      <c r="B31" s="1"/>
      <c r="C31" s="1"/>
      <c r="D31" s="1"/>
      <c r="E31" s="1"/>
      <c r="F31" s="1"/>
      <c r="G31" s="1"/>
    </row>
    <row r="32" customFormat="false" ht="24" hidden="false" customHeight="true" outlineLevel="0" collapsed="false">
      <c r="A32" s="94"/>
      <c r="B32" s="95" t="s">
        <v>58</v>
      </c>
      <c r="C32" s="94"/>
      <c r="D32" s="94"/>
      <c r="E32" s="94"/>
      <c r="F32" s="96" t="n">
        <f aca="false">F29+F30</f>
        <v>0</v>
      </c>
      <c r="G32" s="94"/>
    </row>
    <row r="33" customFormat="false" ht="9.75" hidden="false" customHeight="true" outlineLevel="0" collapsed="false">
      <c r="A33" s="1"/>
      <c r="B33" s="1"/>
      <c r="C33" s="1"/>
      <c r="D33" s="1"/>
      <c r="E33" s="1"/>
      <c r="F33" s="1"/>
      <c r="G33" s="1"/>
    </row>
    <row r="34" customFormat="false" ht="24" hidden="false" customHeight="true" outlineLevel="0" collapsed="false">
      <c r="A34" s="7"/>
      <c r="B34" s="97" t="s">
        <v>59</v>
      </c>
      <c r="C34" s="97"/>
      <c r="D34" s="97"/>
      <c r="E34" s="97"/>
      <c r="F34" s="97"/>
      <c r="G34" s="7"/>
    </row>
    <row r="35" customFormat="false" ht="19.5" hidden="false" customHeight="true" outlineLevel="0" collapsed="false">
      <c r="A35" s="5"/>
      <c r="B35" s="98" t="s">
        <v>60</v>
      </c>
      <c r="C35" s="98"/>
      <c r="D35" s="98"/>
      <c r="E35" s="98"/>
      <c r="F35" s="98"/>
      <c r="G35" s="5"/>
    </row>
    <row r="36" customFormat="false" ht="24" hidden="false" customHeight="true" outlineLevel="0" collapsed="false">
      <c r="A36" s="5"/>
      <c r="B36" s="99" t="s">
        <v>61</v>
      </c>
      <c r="C36" s="99"/>
      <c r="D36" s="100" t="n">
        <v>3</v>
      </c>
      <c r="E36" s="101" t="s">
        <v>62</v>
      </c>
      <c r="F36" s="102" t="n">
        <v>0.03</v>
      </c>
      <c r="G36" s="5"/>
    </row>
    <row r="37" customFormat="false" ht="21.75" hidden="false" customHeight="true" outlineLevel="0" collapsed="false">
      <c r="A37" s="103"/>
      <c r="B37" s="103" t="s">
        <v>63</v>
      </c>
      <c r="C37" s="104" t="s">
        <v>64</v>
      </c>
      <c r="D37" s="105" t="s">
        <v>65</v>
      </c>
      <c r="E37" s="106" t="s">
        <v>66</v>
      </c>
      <c r="F37" s="105" t="s">
        <v>67</v>
      </c>
      <c r="G37" s="107" t="s">
        <v>68</v>
      </c>
    </row>
    <row r="38" customFormat="false" ht="19.5" hidden="false" customHeight="true" outlineLevel="0" collapsed="false">
      <c r="A38" s="21"/>
      <c r="B38" s="108" t="s">
        <v>69</v>
      </c>
      <c r="C38" s="109" t="n">
        <f aca="false">COUNTIF('Deals Log'!L8:L82,"Active")+$D$36</f>
        <v>3</v>
      </c>
      <c r="D38" s="110" t="n">
        <f aca="false">$D$36</f>
        <v>3</v>
      </c>
      <c r="E38" s="111" t="n">
        <f aca="false">IFERROR(ROUND(COUNTIF('Deals Log'!L8:L82,"Active")*$F$36,0),0)</f>
        <v>0</v>
      </c>
      <c r="F38" s="28" t="n">
        <f aca="false">C38*$C$7*597</f>
        <v>268.65</v>
      </c>
      <c r="G38" s="25" t="n">
        <f aca="false">F38</f>
        <v>268.65</v>
      </c>
    </row>
    <row r="39" customFormat="false" ht="19.5" hidden="false" customHeight="true" outlineLevel="0" collapsed="false">
      <c r="A39" s="33"/>
      <c r="B39" s="112" t="s">
        <v>70</v>
      </c>
      <c r="C39" s="113" t="n">
        <f aca="false">MAX(C38+$D$36-ROUND(C38*$F$36,0),0)</f>
        <v>6</v>
      </c>
      <c r="D39" s="114" t="n">
        <f aca="false">$D$36</f>
        <v>3</v>
      </c>
      <c r="E39" s="115" t="n">
        <f aca="false">IFERROR(ROUND(C38*$F$36,0),0)</f>
        <v>0</v>
      </c>
      <c r="F39" s="40" t="n">
        <f aca="false">C39*$C$7*597</f>
        <v>537.3</v>
      </c>
      <c r="G39" s="37" t="n">
        <f aca="false">G38+F39</f>
        <v>805.95</v>
      </c>
    </row>
    <row r="40" customFormat="false" ht="19.5" hidden="false" customHeight="true" outlineLevel="0" collapsed="false">
      <c r="A40" s="21"/>
      <c r="B40" s="108" t="s">
        <v>71</v>
      </c>
      <c r="C40" s="109" t="n">
        <f aca="false">MAX(C39+$D$36-ROUND(C39*$F$36,0),0)</f>
        <v>9</v>
      </c>
      <c r="D40" s="110" t="n">
        <f aca="false">$D$36</f>
        <v>3</v>
      </c>
      <c r="E40" s="111" t="n">
        <f aca="false">IFERROR(ROUND(C39*$F$36,0),0)</f>
        <v>0</v>
      </c>
      <c r="F40" s="28" t="n">
        <f aca="false">C40*$C$7*597</f>
        <v>805.95</v>
      </c>
      <c r="G40" s="25" t="n">
        <f aca="false">G39+F40</f>
        <v>1611.9</v>
      </c>
    </row>
    <row r="41" customFormat="false" ht="19.5" hidden="false" customHeight="true" outlineLevel="0" collapsed="false">
      <c r="A41" s="33"/>
      <c r="B41" s="112" t="s">
        <v>72</v>
      </c>
      <c r="C41" s="113" t="n">
        <f aca="false">MAX(C40+$D$36-ROUND(C40*$F$36,0),0)</f>
        <v>12</v>
      </c>
      <c r="D41" s="114" t="n">
        <f aca="false">$D$36</f>
        <v>3</v>
      </c>
      <c r="E41" s="115" t="n">
        <f aca="false">IFERROR(ROUND(C40*$F$36,0),0)</f>
        <v>0</v>
      </c>
      <c r="F41" s="40" t="n">
        <f aca="false">C41*$C$7*597</f>
        <v>1074.6</v>
      </c>
      <c r="G41" s="37" t="n">
        <f aca="false">G40+F41</f>
        <v>2686.5</v>
      </c>
    </row>
    <row r="42" customFormat="false" ht="19.5" hidden="false" customHeight="true" outlineLevel="0" collapsed="false">
      <c r="A42" s="21"/>
      <c r="B42" s="108" t="s">
        <v>73</v>
      </c>
      <c r="C42" s="109" t="n">
        <f aca="false">MAX(C41+$D$36-ROUND(C41*$F$36,0),0)</f>
        <v>15</v>
      </c>
      <c r="D42" s="110" t="n">
        <f aca="false">$D$36</f>
        <v>3</v>
      </c>
      <c r="E42" s="111" t="n">
        <f aca="false">IFERROR(ROUND(C41*$F$36,0),0)</f>
        <v>0</v>
      </c>
      <c r="F42" s="28" t="n">
        <f aca="false">C42*$C$7*597</f>
        <v>1343.25</v>
      </c>
      <c r="G42" s="25" t="n">
        <f aca="false">G41+F42</f>
        <v>4029.75</v>
      </c>
    </row>
    <row r="43" customFormat="false" ht="19.5" hidden="false" customHeight="true" outlineLevel="0" collapsed="false">
      <c r="A43" s="33"/>
      <c r="B43" s="112" t="s">
        <v>74</v>
      </c>
      <c r="C43" s="113" t="n">
        <f aca="false">MAX(C42+$D$36-ROUND(C42*$F$36,0),0)</f>
        <v>18</v>
      </c>
      <c r="D43" s="114" t="n">
        <f aca="false">$D$36</f>
        <v>3</v>
      </c>
      <c r="E43" s="115" t="n">
        <f aca="false">IFERROR(ROUND(C42*$F$36,0),0)</f>
        <v>0</v>
      </c>
      <c r="F43" s="40" t="n">
        <f aca="false">C43*$C$7*597</f>
        <v>1611.9</v>
      </c>
      <c r="G43" s="37" t="n">
        <f aca="false">G42+F43</f>
        <v>5641.65</v>
      </c>
    </row>
    <row r="44" customFormat="false" ht="19.5" hidden="false" customHeight="true" outlineLevel="0" collapsed="false">
      <c r="A44" s="21"/>
      <c r="B44" s="108" t="s">
        <v>75</v>
      </c>
      <c r="C44" s="109" t="n">
        <f aca="false">MAX(C43+$D$36-ROUND(C43*$F$36,0),0)</f>
        <v>20</v>
      </c>
      <c r="D44" s="110" t="n">
        <f aca="false">$D$36</f>
        <v>3</v>
      </c>
      <c r="E44" s="111" t="n">
        <f aca="false">IFERROR(ROUND(C43*$F$36,0),0)</f>
        <v>1</v>
      </c>
      <c r="F44" s="28" t="n">
        <f aca="false">C44*$C$7*597</f>
        <v>1791</v>
      </c>
      <c r="G44" s="25" t="n">
        <f aca="false">G43+F44</f>
        <v>7432.65</v>
      </c>
    </row>
    <row r="45" customFormat="false" ht="19.5" hidden="false" customHeight="true" outlineLevel="0" collapsed="false">
      <c r="A45" s="33"/>
      <c r="B45" s="112" t="s">
        <v>76</v>
      </c>
      <c r="C45" s="113" t="n">
        <f aca="false">MAX(C44+$D$36-ROUND(C44*$F$36,0),0)</f>
        <v>22</v>
      </c>
      <c r="D45" s="114" t="n">
        <f aca="false">$D$36</f>
        <v>3</v>
      </c>
      <c r="E45" s="115" t="n">
        <f aca="false">IFERROR(ROUND(C44*$F$36,0),0)</f>
        <v>1</v>
      </c>
      <c r="F45" s="40" t="n">
        <f aca="false">C45*$C$7*597</f>
        <v>1970.1</v>
      </c>
      <c r="G45" s="37" t="n">
        <f aca="false">G44+F45</f>
        <v>9402.75</v>
      </c>
    </row>
    <row r="46" customFormat="false" ht="19.5" hidden="false" customHeight="true" outlineLevel="0" collapsed="false">
      <c r="A46" s="21"/>
      <c r="B46" s="108" t="s">
        <v>77</v>
      </c>
      <c r="C46" s="109" t="n">
        <f aca="false">MAX(C45+$D$36-ROUND(C45*$F$36,0),0)</f>
        <v>24</v>
      </c>
      <c r="D46" s="110" t="n">
        <f aca="false">$D$36</f>
        <v>3</v>
      </c>
      <c r="E46" s="111" t="n">
        <f aca="false">IFERROR(ROUND(C45*$F$36,0),0)</f>
        <v>1</v>
      </c>
      <c r="F46" s="28" t="n">
        <f aca="false">C46*$C$7*597</f>
        <v>2149.2</v>
      </c>
      <c r="G46" s="25" t="n">
        <f aca="false">G45+F46</f>
        <v>11551.95</v>
      </c>
    </row>
    <row r="47" customFormat="false" ht="19.5" hidden="false" customHeight="true" outlineLevel="0" collapsed="false">
      <c r="A47" s="33"/>
      <c r="B47" s="112" t="s">
        <v>78</v>
      </c>
      <c r="C47" s="113" t="n">
        <f aca="false">MAX(C46+$D$36-ROUND(C46*$F$36,0),0)</f>
        <v>26</v>
      </c>
      <c r="D47" s="114" t="n">
        <f aca="false">$D$36</f>
        <v>3</v>
      </c>
      <c r="E47" s="115" t="n">
        <f aca="false">IFERROR(ROUND(C46*$F$36,0),0)</f>
        <v>1</v>
      </c>
      <c r="F47" s="40" t="n">
        <f aca="false">C47*$C$7*597</f>
        <v>2328.3</v>
      </c>
      <c r="G47" s="37" t="n">
        <f aca="false">G46+F47</f>
        <v>13880.25</v>
      </c>
    </row>
    <row r="48" customFormat="false" ht="19.5" hidden="false" customHeight="true" outlineLevel="0" collapsed="false">
      <c r="A48" s="21"/>
      <c r="B48" s="108" t="s">
        <v>79</v>
      </c>
      <c r="C48" s="109" t="n">
        <f aca="false">MAX(C47+$D$36-ROUND(C47*$F$36,0),0)</f>
        <v>28</v>
      </c>
      <c r="D48" s="110" t="n">
        <f aca="false">$D$36</f>
        <v>3</v>
      </c>
      <c r="E48" s="111" t="n">
        <f aca="false">IFERROR(ROUND(C47*$F$36,0),0)</f>
        <v>1</v>
      </c>
      <c r="F48" s="28" t="n">
        <f aca="false">C48*$C$7*597</f>
        <v>2507.4</v>
      </c>
      <c r="G48" s="25" t="n">
        <f aca="false">G47+F48</f>
        <v>16387.65</v>
      </c>
    </row>
    <row r="49" customFormat="false" ht="19.5" hidden="false" customHeight="true" outlineLevel="0" collapsed="false">
      <c r="A49" s="33"/>
      <c r="B49" s="112" t="s">
        <v>80</v>
      </c>
      <c r="C49" s="113" t="n">
        <f aca="false">MAX(C48+$D$36-ROUND(C48*$F$36,0),0)</f>
        <v>30</v>
      </c>
      <c r="D49" s="114" t="n">
        <f aca="false">$D$36</f>
        <v>3</v>
      </c>
      <c r="E49" s="115" t="n">
        <f aca="false">IFERROR(ROUND(C48*$F$36,0),0)</f>
        <v>1</v>
      </c>
      <c r="F49" s="40" t="n">
        <f aca="false">C49*$C$7*597</f>
        <v>2686.5</v>
      </c>
      <c r="G49" s="37" t="n">
        <f aca="false">G48+F49</f>
        <v>19074.15</v>
      </c>
    </row>
    <row r="50" customFormat="false" ht="7.5" hidden="false" customHeight="true" outlineLevel="0" collapsed="false">
      <c r="A50" s="1"/>
      <c r="B50" s="1"/>
      <c r="C50" s="1"/>
      <c r="D50" s="1"/>
      <c r="E50" s="1"/>
      <c r="F50" s="1"/>
      <c r="G50" s="1"/>
    </row>
    <row r="51" customFormat="false" ht="24" hidden="false" customHeight="true" outlineLevel="0" collapsed="false">
      <c r="A51" s="43"/>
      <c r="B51" s="44" t="s">
        <v>81</v>
      </c>
      <c r="C51" s="43"/>
      <c r="D51" s="43"/>
      <c r="E51" s="43"/>
      <c r="F51" s="116" t="n">
        <f aca="false">SUM(F38:F49)</f>
        <v>19074.15</v>
      </c>
      <c r="G51" s="117" t="n">
        <f aca="false">G49</f>
        <v>19074.15</v>
      </c>
    </row>
  </sheetData>
  <mergeCells count="17">
    <mergeCell ref="D2:G2"/>
    <mergeCell ref="B4:G4"/>
    <mergeCell ref="B9:F9"/>
    <mergeCell ref="B10:C10"/>
    <mergeCell ref="E10:F10"/>
    <mergeCell ref="B11:C11"/>
    <mergeCell ref="E11:F11"/>
    <mergeCell ref="B12:C12"/>
    <mergeCell ref="E12:F12"/>
    <mergeCell ref="B15:F15"/>
    <mergeCell ref="B16:F16"/>
    <mergeCell ref="B17:F17"/>
    <mergeCell ref="B20:F20"/>
    <mergeCell ref="B27:F27"/>
    <mergeCell ref="B34:F34"/>
    <mergeCell ref="B35:F35"/>
    <mergeCell ref="B36:C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D9EFF"/>
    <pageSetUpPr fitToPage="false"/>
  </sheetPr>
  <dimension ref="A1:H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8" min="3" style="0" width="13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43.5" hidden="false" customHeight="true" outlineLevel="0" collapsed="false">
      <c r="A2" s="1"/>
      <c r="B2" s="2" t="s">
        <v>0</v>
      </c>
      <c r="C2" s="3" t="s">
        <v>1</v>
      </c>
      <c r="D2" s="118" t="s">
        <v>82</v>
      </c>
      <c r="E2" s="118"/>
      <c r="F2" s="118"/>
      <c r="G2" s="118"/>
      <c r="H2" s="118"/>
    </row>
    <row r="3" customFormat="false" ht="6" hidden="false" customHeight="tru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21.75" hidden="false" customHeight="true" outlineLevel="0" collapsed="false">
      <c r="A4" s="5"/>
      <c r="B4" s="6" t="s">
        <v>83</v>
      </c>
      <c r="C4" s="6"/>
      <c r="D4" s="6"/>
      <c r="E4" s="6"/>
      <c r="F4" s="6"/>
      <c r="G4" s="6"/>
      <c r="H4" s="6"/>
    </row>
    <row r="5" customFormat="false" ht="6" hidden="false" customHeight="true" outlineLevel="0" collapsed="false">
      <c r="A5" s="5"/>
      <c r="B5" s="5"/>
      <c r="C5" s="5"/>
      <c r="D5" s="5"/>
      <c r="E5" s="5"/>
      <c r="F5" s="5"/>
      <c r="G5" s="5"/>
      <c r="H5" s="5"/>
    </row>
    <row r="6" customFormat="false" ht="6" hidden="false" customHeight="true" outlineLevel="0" collapsed="false">
      <c r="A6" s="1"/>
      <c r="B6" s="1"/>
      <c r="C6" s="1"/>
      <c r="D6" s="1"/>
      <c r="E6" s="1"/>
      <c r="F6" s="1"/>
      <c r="G6" s="1"/>
      <c r="H6" s="1"/>
    </row>
    <row r="7" customFormat="false" ht="25.5" hidden="false" customHeight="true" outlineLevel="0" collapsed="false">
      <c r="A7" s="13"/>
      <c r="B7" s="14" t="s">
        <v>63</v>
      </c>
      <c r="C7" s="15" t="s">
        <v>84</v>
      </c>
      <c r="D7" s="17" t="s">
        <v>85</v>
      </c>
      <c r="E7" s="16" t="s">
        <v>86</v>
      </c>
      <c r="F7" s="16" t="s">
        <v>87</v>
      </c>
      <c r="G7" s="18" t="s">
        <v>88</v>
      </c>
      <c r="H7" s="17" t="s">
        <v>51</v>
      </c>
    </row>
    <row r="8" customFormat="false" ht="21.75" hidden="false" customHeight="true" outlineLevel="0" collapsed="false">
      <c r="A8" s="21"/>
      <c r="B8" s="90" t="s">
        <v>89</v>
      </c>
      <c r="C8" s="109" t="n">
        <f aca="false">IFERROR(SUMPRODUCT((TEXT('Deals Log'!B8:B82,"MMMM")=B8)*1),0)</f>
        <v>0</v>
      </c>
      <c r="D8" s="25" t="n">
        <f aca="false">IFERROR(SUMPRODUCT((TEXT('Deals Log'!B8:B82,"MMMM")=B8)*'Deals Log'!H8:H82),0)</f>
        <v>0</v>
      </c>
      <c r="E8" s="110" t="n">
        <f aca="false">COUNTIF('Deals Log'!L8:L82,"Active")</f>
        <v>0</v>
      </c>
      <c r="F8" s="28" t="n">
        <f aca="false">SUMIF('Deals Log'!L8:L82,"Active",'Deals Log'!K8:K82)</f>
        <v>0</v>
      </c>
      <c r="G8" s="119"/>
      <c r="H8" s="120" t="n">
        <f aca="false">D8+F8+G8</f>
        <v>0</v>
      </c>
    </row>
    <row r="9" customFormat="false" ht="21.75" hidden="false" customHeight="true" outlineLevel="0" collapsed="false">
      <c r="A9" s="33"/>
      <c r="B9" s="112" t="s">
        <v>90</v>
      </c>
      <c r="C9" s="113" t="n">
        <f aca="false">IFERROR(SUMPRODUCT((TEXT('Deals Log'!B8:B82,"MMMM")=B9)*1),0)</f>
        <v>0</v>
      </c>
      <c r="D9" s="37" t="n">
        <f aca="false">IFERROR(SUMPRODUCT((TEXT('Deals Log'!B8:B82,"MMMM")=B9)*'Deals Log'!H8:H82),0)</f>
        <v>0</v>
      </c>
      <c r="E9" s="114" t="n">
        <f aca="false">COUNTIF('Deals Log'!L8:L82,"Active")</f>
        <v>0</v>
      </c>
      <c r="F9" s="40" t="n">
        <f aca="false">SUMIF('Deals Log'!L8:L82,"Active",'Deals Log'!K8:K82)</f>
        <v>0</v>
      </c>
      <c r="G9" s="121"/>
      <c r="H9" s="122" t="n">
        <f aca="false">D9+F9+G9</f>
        <v>0</v>
      </c>
    </row>
    <row r="10" customFormat="false" ht="21.75" hidden="false" customHeight="true" outlineLevel="0" collapsed="false">
      <c r="A10" s="21"/>
      <c r="B10" s="108" t="s">
        <v>91</v>
      </c>
      <c r="C10" s="109" t="n">
        <f aca="false">IFERROR(SUMPRODUCT((TEXT('Deals Log'!B8:B82,"MMMM")=B10)*1),0)</f>
        <v>0</v>
      </c>
      <c r="D10" s="25" t="n">
        <f aca="false">IFERROR(SUMPRODUCT((TEXT('Deals Log'!B8:B82,"MMMM")=B10)*'Deals Log'!H8:H82),0)</f>
        <v>0</v>
      </c>
      <c r="E10" s="110" t="n">
        <f aca="false">COUNTIF('Deals Log'!L8:L82,"Active")</f>
        <v>0</v>
      </c>
      <c r="F10" s="28" t="n">
        <f aca="false">SUMIF('Deals Log'!L8:L82,"Active",'Deals Log'!K8:K82)</f>
        <v>0</v>
      </c>
      <c r="G10" s="119"/>
      <c r="H10" s="120" t="n">
        <f aca="false">D10+F10+G10</f>
        <v>0</v>
      </c>
    </row>
    <row r="11" customFormat="false" ht="21.75" hidden="false" customHeight="true" outlineLevel="0" collapsed="false">
      <c r="A11" s="33"/>
      <c r="B11" s="112" t="s">
        <v>92</v>
      </c>
      <c r="C11" s="113" t="n">
        <f aca="false">IFERROR(SUMPRODUCT((TEXT('Deals Log'!B8:B82,"MMMM")=B11)*1),0)</f>
        <v>0</v>
      </c>
      <c r="D11" s="37" t="n">
        <f aca="false">IFERROR(SUMPRODUCT((TEXT('Deals Log'!B8:B82,"MMMM")=B11)*'Deals Log'!H8:H82),0)</f>
        <v>0</v>
      </c>
      <c r="E11" s="114" t="n">
        <f aca="false">COUNTIF('Deals Log'!L8:L82,"Active")</f>
        <v>0</v>
      </c>
      <c r="F11" s="40" t="n">
        <f aca="false">SUMIF('Deals Log'!L8:L82,"Active",'Deals Log'!K8:K82)</f>
        <v>0</v>
      </c>
      <c r="G11" s="121"/>
      <c r="H11" s="122" t="n">
        <f aca="false">D11+F11+G11</f>
        <v>0</v>
      </c>
    </row>
    <row r="12" customFormat="false" ht="21.75" hidden="false" customHeight="true" outlineLevel="0" collapsed="false">
      <c r="A12" s="21"/>
      <c r="B12" s="108" t="s">
        <v>93</v>
      </c>
      <c r="C12" s="109" t="n">
        <f aca="false">IFERROR(SUMPRODUCT((TEXT('Deals Log'!B8:B82,"MMMM")=B12)*1),0)</f>
        <v>0</v>
      </c>
      <c r="D12" s="25" t="n">
        <f aca="false">IFERROR(SUMPRODUCT((TEXT('Deals Log'!B8:B82,"MMMM")=B12)*'Deals Log'!H8:H82),0)</f>
        <v>0</v>
      </c>
      <c r="E12" s="110" t="n">
        <f aca="false">COUNTIF('Deals Log'!L8:L82,"Active")</f>
        <v>0</v>
      </c>
      <c r="F12" s="28" t="n">
        <f aca="false">SUMIF('Deals Log'!L8:L82,"Active",'Deals Log'!K8:K82)</f>
        <v>0</v>
      </c>
      <c r="G12" s="119"/>
      <c r="H12" s="120" t="n">
        <f aca="false">D12+F12+G12</f>
        <v>0</v>
      </c>
    </row>
    <row r="13" customFormat="false" ht="21.75" hidden="false" customHeight="true" outlineLevel="0" collapsed="false">
      <c r="A13" s="33"/>
      <c r="B13" s="112" t="s">
        <v>94</v>
      </c>
      <c r="C13" s="113" t="n">
        <f aca="false">IFERROR(SUMPRODUCT((TEXT('Deals Log'!B8:B82,"MMMM")=B13)*1),0)</f>
        <v>0</v>
      </c>
      <c r="D13" s="37" t="n">
        <f aca="false">IFERROR(SUMPRODUCT((TEXT('Deals Log'!B8:B82,"MMMM")=B13)*'Deals Log'!H8:H82),0)</f>
        <v>0</v>
      </c>
      <c r="E13" s="114" t="n">
        <f aca="false">COUNTIF('Deals Log'!L8:L82,"Active")</f>
        <v>0</v>
      </c>
      <c r="F13" s="40" t="n">
        <f aca="false">SUMIF('Deals Log'!L8:L82,"Active",'Deals Log'!K8:K82)</f>
        <v>0</v>
      </c>
      <c r="G13" s="121"/>
      <c r="H13" s="122" t="n">
        <f aca="false">D13+F13+G13</f>
        <v>0</v>
      </c>
    </row>
    <row r="14" customFormat="false" ht="21.75" hidden="false" customHeight="true" outlineLevel="0" collapsed="false">
      <c r="A14" s="21"/>
      <c r="B14" s="108" t="s">
        <v>95</v>
      </c>
      <c r="C14" s="109" t="n">
        <f aca="false">IFERROR(SUMPRODUCT((TEXT('Deals Log'!B8:B82,"MMMM")=B14)*1),0)</f>
        <v>0</v>
      </c>
      <c r="D14" s="25" t="n">
        <f aca="false">IFERROR(SUMPRODUCT((TEXT('Deals Log'!B8:B82,"MMMM")=B14)*'Deals Log'!H8:H82),0)</f>
        <v>0</v>
      </c>
      <c r="E14" s="110" t="n">
        <f aca="false">COUNTIF('Deals Log'!L8:L82,"Active")</f>
        <v>0</v>
      </c>
      <c r="F14" s="28" t="n">
        <f aca="false">SUMIF('Deals Log'!L8:L82,"Active",'Deals Log'!K8:K82)</f>
        <v>0</v>
      </c>
      <c r="G14" s="119"/>
      <c r="H14" s="120" t="n">
        <f aca="false">D14+F14+G14</f>
        <v>0</v>
      </c>
    </row>
    <row r="15" customFormat="false" ht="21.75" hidden="false" customHeight="true" outlineLevel="0" collapsed="false">
      <c r="A15" s="33"/>
      <c r="B15" s="112" t="s">
        <v>96</v>
      </c>
      <c r="C15" s="113" t="n">
        <f aca="false">IFERROR(SUMPRODUCT((TEXT('Deals Log'!B8:B82,"MMMM")=B15)*1),0)</f>
        <v>0</v>
      </c>
      <c r="D15" s="37" t="n">
        <f aca="false">IFERROR(SUMPRODUCT((TEXT('Deals Log'!B8:B82,"MMMM")=B15)*'Deals Log'!H8:H82),0)</f>
        <v>0</v>
      </c>
      <c r="E15" s="114" t="n">
        <f aca="false">COUNTIF('Deals Log'!L8:L82,"Active")</f>
        <v>0</v>
      </c>
      <c r="F15" s="40" t="n">
        <f aca="false">SUMIF('Deals Log'!L8:L82,"Active",'Deals Log'!K8:K82)</f>
        <v>0</v>
      </c>
      <c r="G15" s="121"/>
      <c r="H15" s="122" t="n">
        <f aca="false">D15+F15+G15</f>
        <v>0</v>
      </c>
    </row>
    <row r="16" customFormat="false" ht="21.75" hidden="false" customHeight="true" outlineLevel="0" collapsed="false">
      <c r="A16" s="21"/>
      <c r="B16" s="108" t="s">
        <v>97</v>
      </c>
      <c r="C16" s="109" t="n">
        <f aca="false">IFERROR(SUMPRODUCT((TEXT('Deals Log'!B8:B82,"MMMM")=B16)*1),0)</f>
        <v>0</v>
      </c>
      <c r="D16" s="25" t="n">
        <f aca="false">IFERROR(SUMPRODUCT((TEXT('Deals Log'!B8:B82,"MMMM")=B16)*'Deals Log'!H8:H82),0)</f>
        <v>0</v>
      </c>
      <c r="E16" s="110" t="n">
        <f aca="false">COUNTIF('Deals Log'!L8:L82,"Active")</f>
        <v>0</v>
      </c>
      <c r="F16" s="28" t="n">
        <f aca="false">SUMIF('Deals Log'!L8:L82,"Active",'Deals Log'!K8:K82)</f>
        <v>0</v>
      </c>
      <c r="G16" s="119"/>
      <c r="H16" s="120" t="n">
        <f aca="false">D16+F16+G16</f>
        <v>0</v>
      </c>
    </row>
    <row r="17" customFormat="false" ht="21.75" hidden="false" customHeight="true" outlineLevel="0" collapsed="false">
      <c r="A17" s="33"/>
      <c r="B17" s="112" t="s">
        <v>98</v>
      </c>
      <c r="C17" s="113" t="n">
        <f aca="false">IFERROR(SUMPRODUCT((TEXT('Deals Log'!B8:B82,"MMMM")=B17)*1),0)</f>
        <v>0</v>
      </c>
      <c r="D17" s="37" t="n">
        <f aca="false">IFERROR(SUMPRODUCT((TEXT('Deals Log'!B8:B82,"MMMM")=B17)*'Deals Log'!H8:H82),0)</f>
        <v>0</v>
      </c>
      <c r="E17" s="114" t="n">
        <f aca="false">COUNTIF('Deals Log'!L8:L82,"Active")</f>
        <v>0</v>
      </c>
      <c r="F17" s="40" t="n">
        <f aca="false">SUMIF('Deals Log'!L8:L82,"Active",'Deals Log'!K8:K82)</f>
        <v>0</v>
      </c>
      <c r="G17" s="121"/>
      <c r="H17" s="122" t="n">
        <f aca="false">D17+F17+G17</f>
        <v>0</v>
      </c>
    </row>
    <row r="18" customFormat="false" ht="21.75" hidden="false" customHeight="true" outlineLevel="0" collapsed="false">
      <c r="A18" s="21"/>
      <c r="B18" s="108" t="s">
        <v>99</v>
      </c>
      <c r="C18" s="109" t="n">
        <f aca="false">IFERROR(SUMPRODUCT((TEXT('Deals Log'!B8:B82,"MMMM")=B18)*1),0)</f>
        <v>0</v>
      </c>
      <c r="D18" s="25" t="n">
        <f aca="false">IFERROR(SUMPRODUCT((TEXT('Deals Log'!B8:B82,"MMMM")=B18)*'Deals Log'!H8:H82),0)</f>
        <v>0</v>
      </c>
      <c r="E18" s="110" t="n">
        <f aca="false">COUNTIF('Deals Log'!L8:L82,"Active")</f>
        <v>0</v>
      </c>
      <c r="F18" s="28" t="n">
        <f aca="false">SUMIF('Deals Log'!L8:L82,"Active",'Deals Log'!K8:K82)</f>
        <v>0</v>
      </c>
      <c r="G18" s="119"/>
      <c r="H18" s="120" t="n">
        <f aca="false">D18+F18+G18</f>
        <v>0</v>
      </c>
    </row>
    <row r="19" customFormat="false" ht="21.75" hidden="false" customHeight="true" outlineLevel="0" collapsed="false">
      <c r="A19" s="33"/>
      <c r="B19" s="112" t="s">
        <v>100</v>
      </c>
      <c r="C19" s="113" t="n">
        <f aca="false">IFERROR(SUMPRODUCT((TEXT('Deals Log'!B8:B82,"MMMM")=B19)*1),0)</f>
        <v>75</v>
      </c>
      <c r="D19" s="37" t="n">
        <f aca="false">IFERROR(SUMPRODUCT((TEXT('Deals Log'!B8:B82,"MMMM")=B19)*'Deals Log'!H8:H82),0)</f>
        <v>0</v>
      </c>
      <c r="E19" s="114" t="n">
        <f aca="false">COUNTIF('Deals Log'!L8:L82,"Active")</f>
        <v>0</v>
      </c>
      <c r="F19" s="40" t="n">
        <f aca="false">SUMIF('Deals Log'!L8:L82,"Active",'Deals Log'!K8:K82)</f>
        <v>0</v>
      </c>
      <c r="G19" s="121"/>
      <c r="H19" s="122" t="n">
        <f aca="false">D19+F19+G19</f>
        <v>0</v>
      </c>
    </row>
    <row r="20" customFormat="false" ht="7.5" hidden="false" customHeight="true" outlineLevel="0" collapsed="false">
      <c r="A20" s="1"/>
      <c r="B20" s="1"/>
      <c r="C20" s="1"/>
      <c r="D20" s="1"/>
      <c r="E20" s="1"/>
      <c r="F20" s="1"/>
      <c r="G20" s="1"/>
      <c r="H20" s="1"/>
    </row>
    <row r="21" customFormat="false" ht="25.5" hidden="false" customHeight="true" outlineLevel="0" collapsed="false">
      <c r="A21" s="123"/>
      <c r="B21" s="124" t="s">
        <v>101</v>
      </c>
      <c r="C21" s="125" t="n">
        <f aca="false">SUM(C8:C19)</f>
        <v>75</v>
      </c>
      <c r="D21" s="126" t="n">
        <f aca="false">SUM(D8:D19)</f>
        <v>0</v>
      </c>
      <c r="E21" s="123"/>
      <c r="F21" s="127" t="n">
        <f aca="false">SUM(F8:F19)</f>
        <v>0</v>
      </c>
      <c r="G21" s="128" t="n">
        <f aca="false">SUM(G8:G19)</f>
        <v>0</v>
      </c>
      <c r="H21" s="126" t="n">
        <f aca="false">SUM(H8:H19)</f>
        <v>0</v>
      </c>
    </row>
  </sheetData>
  <mergeCells count="2">
    <mergeCell ref="D2:H2"/>
    <mergeCell ref="B4:H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E5A0"/>
    <pageSetUpPr fitToPage="false"/>
  </sheetPr>
  <dimension ref="A1:C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54"/>
  </cols>
  <sheetData>
    <row r="1" customFormat="false" ht="7.5" hidden="false" customHeight="true" outlineLevel="0" collapsed="false">
      <c r="A1" s="1"/>
      <c r="B1" s="1"/>
      <c r="C1" s="1"/>
    </row>
    <row r="2" customFormat="false" ht="43.5" hidden="false" customHeight="true" outlineLevel="0" collapsed="false">
      <c r="A2" s="1"/>
      <c r="B2" s="2" t="s">
        <v>0</v>
      </c>
      <c r="C2" s="3" t="s">
        <v>1</v>
      </c>
    </row>
    <row r="3" customFormat="false" ht="6" hidden="false" customHeight="true" outlineLevel="0" collapsed="false">
      <c r="A3" s="1"/>
      <c r="B3" s="1"/>
      <c r="C3" s="1"/>
    </row>
    <row r="4" customFormat="false" ht="18" hidden="false" customHeight="true" outlineLevel="0" collapsed="false">
      <c r="A4" s="129"/>
      <c r="B4" s="130" t="s">
        <v>102</v>
      </c>
      <c r="C4" s="129"/>
    </row>
    <row r="5" customFormat="false" ht="15.75" hidden="false" customHeight="true" outlineLevel="0" collapsed="false">
      <c r="A5" s="33"/>
      <c r="B5" s="33"/>
      <c r="C5" s="131" t="s">
        <v>103</v>
      </c>
    </row>
    <row r="6" customFormat="false" ht="15.75" hidden="false" customHeight="true" outlineLevel="0" collapsed="false">
      <c r="A6" s="21"/>
      <c r="B6" s="21"/>
      <c r="C6" s="132"/>
    </row>
    <row r="7" customFormat="false" ht="18" hidden="false" customHeight="true" outlineLevel="0" collapsed="false">
      <c r="A7" s="129"/>
      <c r="B7" s="130" t="s">
        <v>104</v>
      </c>
      <c r="C7" s="129"/>
    </row>
    <row r="8" customFormat="false" ht="15.75" hidden="false" customHeight="true" outlineLevel="0" collapsed="false">
      <c r="A8" s="21"/>
      <c r="B8" s="21"/>
      <c r="C8" s="133" t="s">
        <v>105</v>
      </c>
    </row>
    <row r="9" customFormat="false" ht="15.75" hidden="false" customHeight="true" outlineLevel="0" collapsed="false">
      <c r="A9" s="33"/>
      <c r="B9" s="33"/>
      <c r="C9" s="131" t="s">
        <v>106</v>
      </c>
    </row>
    <row r="10" customFormat="false" ht="15.75" hidden="false" customHeight="true" outlineLevel="0" collapsed="false">
      <c r="A10" s="21"/>
      <c r="B10" s="21"/>
      <c r="C10" s="133" t="s">
        <v>107</v>
      </c>
    </row>
    <row r="11" customFormat="false" ht="15.75" hidden="false" customHeight="true" outlineLevel="0" collapsed="false">
      <c r="A11" s="33"/>
      <c r="B11" s="33"/>
      <c r="C11" s="131" t="s">
        <v>108</v>
      </c>
    </row>
    <row r="12" customFormat="false" ht="15.75" hidden="false" customHeight="true" outlineLevel="0" collapsed="false">
      <c r="A12" s="21"/>
      <c r="B12" s="21"/>
      <c r="C12" s="133" t="s">
        <v>109</v>
      </c>
    </row>
    <row r="13" customFormat="false" ht="15.75" hidden="false" customHeight="true" outlineLevel="0" collapsed="false">
      <c r="A13" s="33"/>
      <c r="B13" s="33"/>
      <c r="C13" s="131" t="s">
        <v>110</v>
      </c>
    </row>
    <row r="14" customFormat="false" ht="15.75" hidden="false" customHeight="true" outlineLevel="0" collapsed="false">
      <c r="A14" s="21"/>
      <c r="B14" s="21"/>
      <c r="C14" s="134" t="s">
        <v>111</v>
      </c>
    </row>
    <row r="15" customFormat="false" ht="15.75" hidden="false" customHeight="true" outlineLevel="0" collapsed="false">
      <c r="A15" s="33"/>
      <c r="B15" s="33"/>
      <c r="C15" s="135"/>
    </row>
    <row r="16" customFormat="false" ht="18" hidden="false" customHeight="true" outlineLevel="0" collapsed="false">
      <c r="A16" s="129"/>
      <c r="B16" s="136" t="s">
        <v>112</v>
      </c>
      <c r="C16" s="129"/>
    </row>
    <row r="17" customFormat="false" ht="15.75" hidden="false" customHeight="true" outlineLevel="0" collapsed="false">
      <c r="A17" s="33"/>
      <c r="B17" s="33"/>
      <c r="C17" s="131" t="s">
        <v>113</v>
      </c>
    </row>
    <row r="18" customFormat="false" ht="15.75" hidden="false" customHeight="true" outlineLevel="0" collapsed="false">
      <c r="A18" s="21"/>
      <c r="B18" s="21"/>
      <c r="C18" s="133" t="s">
        <v>114</v>
      </c>
    </row>
    <row r="19" customFormat="false" ht="15.75" hidden="false" customHeight="true" outlineLevel="0" collapsed="false">
      <c r="A19" s="33"/>
      <c r="B19" s="33"/>
      <c r="C19" s="131" t="s">
        <v>115</v>
      </c>
    </row>
    <row r="20" customFormat="false" ht="15.75" hidden="false" customHeight="true" outlineLevel="0" collapsed="false">
      <c r="A20" s="21"/>
      <c r="B20" s="21"/>
      <c r="C20" s="133" t="s">
        <v>116</v>
      </c>
    </row>
    <row r="21" customFormat="false" ht="15.75" hidden="false" customHeight="true" outlineLevel="0" collapsed="false">
      <c r="A21" s="33"/>
      <c r="B21" s="33"/>
      <c r="C21" s="137" t="s">
        <v>117</v>
      </c>
    </row>
    <row r="22" customFormat="false" ht="15.75" hidden="false" customHeight="true" outlineLevel="0" collapsed="false">
      <c r="A22" s="21"/>
      <c r="B22" s="21"/>
      <c r="C22" s="132"/>
    </row>
    <row r="23" customFormat="false" ht="18" hidden="false" customHeight="true" outlineLevel="0" collapsed="false">
      <c r="A23" s="129"/>
      <c r="B23" s="138" t="s">
        <v>118</v>
      </c>
      <c r="C23" s="129"/>
    </row>
    <row r="24" customFormat="false" ht="15.75" hidden="false" customHeight="true" outlineLevel="0" collapsed="false">
      <c r="A24" s="21"/>
      <c r="B24" s="21"/>
      <c r="C24" s="133" t="s">
        <v>119</v>
      </c>
    </row>
    <row r="25" customFormat="false" ht="15.75" hidden="false" customHeight="true" outlineLevel="0" collapsed="false">
      <c r="A25" s="33"/>
      <c r="B25" s="33"/>
      <c r="C25" s="131" t="s">
        <v>120</v>
      </c>
    </row>
    <row r="26" customFormat="false" ht="15.75" hidden="false" customHeight="true" outlineLevel="0" collapsed="false">
      <c r="A26" s="21"/>
      <c r="B26" s="21"/>
      <c r="C26" s="133" t="s">
        <v>121</v>
      </c>
    </row>
    <row r="27" customFormat="false" ht="15.75" hidden="false" customHeight="true" outlineLevel="0" collapsed="false">
      <c r="A27" s="33"/>
      <c r="B27" s="33"/>
      <c r="C27" s="135"/>
    </row>
    <row r="28" customFormat="false" ht="18" hidden="false" customHeight="true" outlineLevel="0" collapsed="false">
      <c r="A28" s="129"/>
      <c r="B28" s="130" t="s">
        <v>122</v>
      </c>
      <c r="C28" s="129"/>
    </row>
    <row r="29" customFormat="false" ht="15.75" hidden="false" customHeight="true" outlineLevel="0" collapsed="false">
      <c r="A29" s="33"/>
      <c r="B29" s="33"/>
      <c r="C29" s="131" t="s">
        <v>123</v>
      </c>
    </row>
    <row r="30" customFormat="false" ht="15.75" hidden="false" customHeight="true" outlineLevel="0" collapsed="false">
      <c r="A30" s="21"/>
      <c r="B30" s="21"/>
      <c r="C30" s="133" t="s">
        <v>124</v>
      </c>
    </row>
    <row r="31" customFormat="false" ht="15.75" hidden="false" customHeight="true" outlineLevel="0" collapsed="false">
      <c r="A31" s="33"/>
      <c r="B31" s="33"/>
      <c r="C31" s="131" t="s">
        <v>125</v>
      </c>
    </row>
    <row r="32" customFormat="false" ht="15.75" hidden="false" customHeight="true" outlineLevel="0" collapsed="false">
      <c r="A32" s="21"/>
      <c r="B32" s="21"/>
      <c r="C32" s="139" t="s">
        <v>126</v>
      </c>
    </row>
    <row r="33" customFormat="false" ht="15.75" hidden="false" customHeight="true" outlineLevel="0" collapsed="false">
      <c r="A33" s="33"/>
      <c r="B33" s="33"/>
      <c r="C33" s="140" t="s">
        <v>127</v>
      </c>
    </row>
    <row r="34" customFormat="false" ht="15.75" hidden="false" customHeight="true" outlineLevel="0" collapsed="false">
      <c r="A34" s="21"/>
      <c r="B34" s="21"/>
      <c r="C34" s="134" t="s">
        <v>128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2026-03-07T17:49:09Z</dcterms:created>
  <dc:creator>openpyxl</dc:creator>
  <dc:description/>
  <dc:language>en-US</dc:language>
  <cp:lastModifiedBy/>
  <dcterms:modified xsi:type="dcterms:W3CDTF">2026-03-07T17:49:09Z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